
<file path=[Content_Types].xml><?xml version="1.0" encoding="utf-8"?>
<Types xmlns="http://schemas.openxmlformats.org/package/2006/content-types">
  <Default Extension="bin" ContentType="application/vnd.openxmlformats-officedocument.oleObject"/>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aybar\Dropbox\AAA_AICF_International Corporate Finance\Handouts\09_International Capital Budgeting\"/>
    </mc:Choice>
  </mc:AlternateContent>
  <bookViews>
    <workbookView xWindow="0" yWindow="0" windowWidth="28800" windowHeight="10620" firstSheet="2" activeTab="6"/>
  </bookViews>
  <sheets>
    <sheet name="Assumptions" sheetId="1" r:id="rId1"/>
    <sheet name="IOCF" sheetId="2" r:id="rId2"/>
    <sheet name="Depreciation Tax Shield" sheetId="3" r:id="rId3"/>
    <sheet name="Value of Concessionary Loans" sheetId="4" r:id="rId4"/>
    <sheet name="PV of ITS" sheetId="5" r:id="rId5"/>
    <sheet name="Restricted Funds" sheetId="7" r:id="rId6"/>
    <sheet name="APV" sheetId="6" r:id="rId7"/>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6" i="7" l="1"/>
  <c r="E5" i="7"/>
  <c r="E4" i="7"/>
  <c r="F16" i="5"/>
  <c r="F15" i="5"/>
  <c r="G5" i="5"/>
  <c r="G6" i="4"/>
  <c r="G7" i="4"/>
  <c r="G8" i="4"/>
  <c r="G9" i="4"/>
  <c r="G10" i="4"/>
  <c r="G11" i="4"/>
  <c r="G12" i="4"/>
  <c r="G5" i="4"/>
  <c r="J6" i="2"/>
  <c r="I6" i="2"/>
  <c r="H6" i="2"/>
  <c r="G6" i="2"/>
  <c r="F6" i="2"/>
  <c r="E6" i="2"/>
  <c r="D6" i="2"/>
  <c r="C6" i="2"/>
  <c r="J5" i="2"/>
  <c r="I5" i="2"/>
  <c r="H5" i="2"/>
  <c r="G5" i="2"/>
  <c r="F5" i="2"/>
  <c r="E5" i="2"/>
  <c r="D5" i="2"/>
  <c r="C5" i="2"/>
  <c r="C2" i="2"/>
  <c r="J2" i="2"/>
  <c r="I2" i="2"/>
  <c r="H2" i="2"/>
  <c r="G2" i="2"/>
  <c r="F2" i="2"/>
  <c r="E2" i="2"/>
  <c r="D2" i="2"/>
  <c r="F12" i="4" l="1"/>
  <c r="F11" i="4"/>
  <c r="F10" i="4"/>
  <c r="F9" i="4"/>
  <c r="F8" i="4"/>
  <c r="F7" i="4"/>
  <c r="F6" i="4"/>
  <c r="F5" i="4"/>
  <c r="H14" i="4"/>
  <c r="B11" i="1"/>
  <c r="E28" i="6"/>
  <c r="E27" i="6"/>
  <c r="C4" i="7" l="1"/>
  <c r="C3" i="7"/>
  <c r="C2" i="7"/>
  <c r="C5" i="7" s="1"/>
  <c r="D12" i="5"/>
  <c r="F12" i="5" s="1"/>
  <c r="G12" i="5" s="1"/>
  <c r="D11" i="5"/>
  <c r="F11" i="5" s="1"/>
  <c r="G11" i="5" s="1"/>
  <c r="D10" i="5"/>
  <c r="F10" i="5" s="1"/>
  <c r="G10" i="5" s="1"/>
  <c r="D9" i="5"/>
  <c r="F9" i="5" s="1"/>
  <c r="G9" i="5" s="1"/>
  <c r="D8" i="5"/>
  <c r="F8" i="5" s="1"/>
  <c r="G8" i="5" s="1"/>
  <c r="D7" i="5"/>
  <c r="F7" i="5" s="1"/>
  <c r="G7" i="5" s="1"/>
  <c r="D6" i="5"/>
  <c r="F6" i="5" s="1"/>
  <c r="G6" i="5" s="1"/>
  <c r="D5" i="5"/>
  <c r="F5" i="5" s="1"/>
  <c r="C6" i="5"/>
  <c r="B6" i="5"/>
  <c r="B7" i="5" s="1"/>
  <c r="C5" i="5"/>
  <c r="E7" i="4"/>
  <c r="E8" i="4" s="1"/>
  <c r="E9" i="4" s="1"/>
  <c r="E10" i="4" s="1"/>
  <c r="E11" i="4" s="1"/>
  <c r="E12" i="4" s="1"/>
  <c r="E6" i="4"/>
  <c r="E5" i="4"/>
  <c r="D12" i="4"/>
  <c r="D11" i="4"/>
  <c r="D10" i="4"/>
  <c r="D9" i="4"/>
  <c r="D8" i="4"/>
  <c r="D7" i="4"/>
  <c r="D6" i="4"/>
  <c r="D5" i="4"/>
  <c r="B6" i="4"/>
  <c r="C6" i="4" s="1"/>
  <c r="H6" i="4" s="1"/>
  <c r="C5" i="4"/>
  <c r="H5" i="4" s="1"/>
  <c r="D5" i="3"/>
  <c r="D6" i="3"/>
  <c r="D7" i="3"/>
  <c r="D8" i="3"/>
  <c r="D9" i="3"/>
  <c r="D10" i="3"/>
  <c r="D4" i="3"/>
  <c r="D3" i="3"/>
  <c r="C8" i="3"/>
  <c r="E8" i="3" s="1"/>
  <c r="F8" i="3" s="1"/>
  <c r="C4" i="3"/>
  <c r="E4" i="3" s="1"/>
  <c r="F4" i="3" s="1"/>
  <c r="B5" i="3"/>
  <c r="B6" i="3" s="1"/>
  <c r="B7" i="3" s="1"/>
  <c r="B8" i="3" s="1"/>
  <c r="B9" i="3" s="1"/>
  <c r="B10" i="3" s="1"/>
  <c r="B4" i="3"/>
  <c r="B12" i="2"/>
  <c r="C7" i="2"/>
  <c r="D7" i="2" s="1"/>
  <c r="E7" i="2" s="1"/>
  <c r="F7" i="2" s="1"/>
  <c r="G7" i="2" s="1"/>
  <c r="H7" i="2" s="1"/>
  <c r="I7" i="2" s="1"/>
  <c r="J7" i="2" s="1"/>
  <c r="C8" i="2"/>
  <c r="D8" i="2" s="1"/>
  <c r="E4" i="2"/>
  <c r="F4" i="2" s="1"/>
  <c r="G4" i="2" s="1"/>
  <c r="H4" i="2" s="1"/>
  <c r="I4" i="2" s="1"/>
  <c r="J4" i="2" s="1"/>
  <c r="D4" i="2"/>
  <c r="C3" i="2"/>
  <c r="D3" i="2" s="1"/>
  <c r="E3" i="2" s="1"/>
  <c r="F3" i="2" s="1"/>
  <c r="G3" i="2" s="1"/>
  <c r="H3" i="2" s="1"/>
  <c r="I3" i="2" s="1"/>
  <c r="J3" i="2" s="1"/>
  <c r="B10" i="1"/>
  <c r="C7" i="3"/>
  <c r="E7" i="3" s="1"/>
  <c r="F7" i="3" s="1"/>
  <c r="E8" i="2" l="1"/>
  <c r="D9" i="2"/>
  <c r="D10" i="2"/>
  <c r="D11" i="2" s="1"/>
  <c r="C10" i="2"/>
  <c r="C11" i="2" s="1"/>
  <c r="C5" i="3"/>
  <c r="E5" i="3" s="1"/>
  <c r="F5" i="3" s="1"/>
  <c r="C9" i="3"/>
  <c r="E9" i="3" s="1"/>
  <c r="F9" i="3" s="1"/>
  <c r="C6" i="3"/>
  <c r="E6" i="3" s="1"/>
  <c r="F6" i="3" s="1"/>
  <c r="C10" i="3"/>
  <c r="E10" i="3" s="1"/>
  <c r="F10" i="3" s="1"/>
  <c r="C3" i="3"/>
  <c r="E3" i="3" s="1"/>
  <c r="F3" i="3" s="1"/>
  <c r="F11" i="3" s="1"/>
  <c r="E24" i="6" s="1"/>
  <c r="B8" i="5"/>
  <c r="C7" i="5"/>
  <c r="B7" i="4"/>
  <c r="C9" i="2"/>
  <c r="F8" i="2" l="1"/>
  <c r="E9" i="2"/>
  <c r="E10" i="2" s="1"/>
  <c r="E11" i="2" s="1"/>
  <c r="B9" i="5"/>
  <c r="C8" i="5"/>
  <c r="C7" i="4"/>
  <c r="H7" i="4" s="1"/>
  <c r="B8" i="4"/>
  <c r="G8" i="2" l="1"/>
  <c r="F9" i="2"/>
  <c r="F10" i="2" s="1"/>
  <c r="F11" i="2" s="1"/>
  <c r="B10" i="5"/>
  <c r="C9" i="5"/>
  <c r="B9" i="4"/>
  <c r="C8" i="4"/>
  <c r="H8" i="4" s="1"/>
  <c r="H8" i="2" l="1"/>
  <c r="G9" i="2"/>
  <c r="G10" i="2" s="1"/>
  <c r="G11" i="2" s="1"/>
  <c r="B11" i="5"/>
  <c r="C10" i="5"/>
  <c r="C9" i="4"/>
  <c r="H9" i="4" s="1"/>
  <c r="B10" i="4"/>
  <c r="I8" i="2" l="1"/>
  <c r="H9" i="2"/>
  <c r="H10" i="2" s="1"/>
  <c r="H11" i="2" s="1"/>
  <c r="B12" i="5"/>
  <c r="C12" i="5" s="1"/>
  <c r="C11" i="5"/>
  <c r="C10" i="4"/>
  <c r="H10" i="4" s="1"/>
  <c r="B11" i="4"/>
  <c r="J8" i="2" l="1"/>
  <c r="J9" i="2" s="1"/>
  <c r="J10" i="2" s="1"/>
  <c r="J11" i="2" s="1"/>
  <c r="I9" i="2"/>
  <c r="I10" i="2" s="1"/>
  <c r="I11" i="2" s="1"/>
  <c r="B13" i="2" s="1"/>
  <c r="E23" i="6" s="1"/>
  <c r="C11" i="4"/>
  <c r="H11" i="4" s="1"/>
  <c r="B12" i="4"/>
  <c r="C12" i="4" s="1"/>
  <c r="H12" i="4" s="1"/>
  <c r="H13" i="4" s="1"/>
  <c r="H15" i="4" s="1"/>
  <c r="E26" i="6" s="1"/>
  <c r="G13" i="5" l="1"/>
  <c r="E25" i="6" s="1"/>
  <c r="E29" i="6" s="1"/>
</calcChain>
</file>

<file path=xl/sharedStrings.xml><?xml version="1.0" encoding="utf-8"?>
<sst xmlns="http://schemas.openxmlformats.org/spreadsheetml/2006/main" count="72" uniqueCount="65">
  <si>
    <t>Spot Rate</t>
  </si>
  <si>
    <t>Inflation_US</t>
  </si>
  <si>
    <t>Inflation_Euro Area</t>
  </si>
  <si>
    <t>Expected Growth</t>
  </si>
  <si>
    <t>Total Sales to Europe (units)</t>
  </si>
  <si>
    <t>Lost Sales (Former Exports-Units)</t>
  </si>
  <si>
    <t>Expected growth</t>
  </si>
  <si>
    <t>Cost of Plant (EURO)</t>
  </si>
  <si>
    <t>Depreciation</t>
  </si>
  <si>
    <t>Conribution Margin on Sales (EURO)</t>
  </si>
  <si>
    <t>Contribution Margin on Loss Exports (USD)</t>
  </si>
  <si>
    <t xml:space="preserve">Csot of Equity </t>
  </si>
  <si>
    <t>Subsidized Loan  (EURO)</t>
  </si>
  <si>
    <t>Additional Borrowing Capacity (USD)</t>
  </si>
  <si>
    <t>Preferential Tax in Spain</t>
  </si>
  <si>
    <t xml:space="preserve">US Tax </t>
  </si>
  <si>
    <t xml:space="preserve">Tax Penalty on Repatriation </t>
  </si>
  <si>
    <t>Trapped Funds in Spain (EURO)</t>
  </si>
  <si>
    <t>Cost of Plant (USD)</t>
  </si>
  <si>
    <t>Year</t>
  </si>
  <si>
    <t>Quantity</t>
  </si>
  <si>
    <t>Contribution Margin</t>
  </si>
  <si>
    <t>Operating Profit (USD)</t>
  </si>
  <si>
    <t>Contr.Margin on Lost Sales</t>
  </si>
  <si>
    <t>Lost Sales (Units)</t>
  </si>
  <si>
    <t>Lost Sales (USD)</t>
  </si>
  <si>
    <t>Incremental Operating Cash Flows</t>
  </si>
  <si>
    <t>Cost of Equity</t>
  </si>
  <si>
    <t>After Tax IOCF</t>
  </si>
  <si>
    <t>PV of After Tax  IOCF</t>
  </si>
  <si>
    <t xml:space="preserve">Year </t>
  </si>
  <si>
    <t>Depreciation Allocation</t>
  </si>
  <si>
    <t>Depreciation in USD</t>
  </si>
  <si>
    <t>Depreciation Tax Shield</t>
  </si>
  <si>
    <t>Loan Payment ($)</t>
  </si>
  <si>
    <t xml:space="preserve">PV of  Loan PMT at market rate ($)                         </t>
  </si>
  <si>
    <t>Concessionary Loan</t>
  </si>
  <si>
    <t>Benefit of Concessionary Loan</t>
  </si>
  <si>
    <t>Loan (EUR)</t>
  </si>
  <si>
    <t>Interest Payment (EUR)</t>
  </si>
  <si>
    <t xml:space="preserve"> Loan Balance (EUR)</t>
  </si>
  <si>
    <t>Principle Payment (EUR)</t>
  </si>
  <si>
    <t xml:space="preserve">Interest Payments </t>
  </si>
  <si>
    <t>Projected Debt Ratio</t>
  </si>
  <si>
    <t>Interest Tax Shiled (EUR)</t>
  </si>
  <si>
    <t>Interest Tax Shield ($)</t>
  </si>
  <si>
    <t>Subsidized Loan</t>
  </si>
  <si>
    <t xml:space="preserve">PV of  ITS                        </t>
  </si>
  <si>
    <t>IOCF</t>
  </si>
  <si>
    <t>+DTS</t>
  </si>
  <si>
    <t>+ITS</t>
  </si>
  <si>
    <t>PV of Concessionary Loan</t>
  </si>
  <si>
    <t>Restricted Funds (EUR)</t>
  </si>
  <si>
    <t>USD Value</t>
  </si>
  <si>
    <t>Tax Liability if Transferred</t>
  </si>
  <si>
    <t>Grossed up Value (EUR)</t>
  </si>
  <si>
    <t xml:space="preserve">Net Benefit </t>
  </si>
  <si>
    <t>Impact of Restricted Funds</t>
  </si>
  <si>
    <t>Investment Outlay</t>
  </si>
  <si>
    <t>APV</t>
  </si>
  <si>
    <t>Cost of Debt  (USD)</t>
  </si>
  <si>
    <t>Cost of Subsidized Debt (EUR)</t>
  </si>
  <si>
    <t>Operating Profit (EUR)</t>
  </si>
  <si>
    <t>PV of Depreciation Tax Shield</t>
  </si>
  <si>
    <t>Loan Payments (EUR)</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</si>
</sst>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_);[Red]\(&quot;$&quot;#,##0\)"/>
    <numFmt numFmtId="8" formatCode="&quot;$&quot;#,##0.00_);[Red]\(&quot;$&quot;#,##0.00\)"/>
    <numFmt numFmtId="43" formatCode="_(* #,##0.00_);_(* \(#,##0.00\);_(* &quot;-&quot;??_);_(@_)"/>
    <numFmt numFmtId="164" formatCode="_(* #,##0_);_(* \(#,##0\);_(* &quot;-&quot;??_);_(@_)"/>
    <numFmt numFmtId="165" formatCode="0.0000"/>
    <numFmt numFmtId="166" formatCode="&quot;$&quot;#,##0.0_);[Red]\(&quot;$&quot;#,##0.0\)"/>
  </numFmts>
  <fonts count="5" x14ac:knownFonts="1">
    <font>
      <sz val="12"/>
      <color theme="1"/>
      <name val="Times New Roman"/>
      <family val="2"/>
    </font>
    <font>
      <sz val="12"/>
      <color theme="1"/>
      <name val="Times New Roman"/>
      <family val="2"/>
    </font>
    <font>
      <b/>
      <sz val="12"/>
      <color theme="1"/>
      <name val="Times New Roman"/>
      <family val="1"/>
    </font>
    <font>
      <sz val="12"/>
      <color rgb="FFC00000"/>
      <name val="Times New Roman"/>
      <family val="2"/>
    </font>
    <font>
      <b/>
      <u/>
      <sz val="12"/>
      <color theme="1"/>
      <name val="Times New Roman"/>
      <family val="1"/>
    </font>
  </fonts>
  <fills count="9">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
      <patternFill patternType="solid">
        <fgColor theme="7" tint="0.59999389629810485"/>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8" tint="0.79998168889431442"/>
        <bgColor indexed="64"/>
      </patternFill>
    </fill>
    <fill>
      <patternFill patternType="solid">
        <fgColor rgb="FFFFFF00"/>
        <bgColor indexed="64"/>
      </patternFill>
    </fill>
  </fills>
  <borders count="2">
    <border>
      <left/>
      <right/>
      <top/>
      <bottom/>
      <diagonal/>
    </border>
    <border>
      <left/>
      <right/>
      <top/>
      <bottom style="thin">
        <color indexed="64"/>
      </bottom>
      <diagonal/>
    </border>
  </borders>
  <cellStyleXfs count="2">
    <xf numFmtId="0" fontId="0" fillId="0" borderId="0"/>
    <xf numFmtId="43" fontId="1" fillId="0" borderId="0" applyFont="0" applyFill="0" applyBorder="0" applyAlignment="0" applyProtection="0"/>
  </cellStyleXfs>
  <cellXfs count="42">
    <xf numFmtId="0" fontId="0" fillId="0" borderId="0" xfId="0"/>
    <xf numFmtId="9" fontId="0" fillId="0" borderId="0" xfId="0" applyNumberFormat="1"/>
    <xf numFmtId="10" fontId="0" fillId="0" borderId="0" xfId="0" applyNumberFormat="1"/>
    <xf numFmtId="43" fontId="0" fillId="0" borderId="0" xfId="1" applyFont="1"/>
    <xf numFmtId="164" fontId="0" fillId="0" borderId="0" xfId="1" applyNumberFormat="1" applyFont="1"/>
    <xf numFmtId="165" fontId="0" fillId="0" borderId="0" xfId="0" applyNumberFormat="1"/>
    <xf numFmtId="43" fontId="0" fillId="0" borderId="0" xfId="1" applyNumberFormat="1" applyFont="1"/>
    <xf numFmtId="2" fontId="0" fillId="0" borderId="0" xfId="0" applyNumberFormat="1"/>
    <xf numFmtId="164" fontId="0" fillId="0" borderId="0" xfId="0" applyNumberFormat="1"/>
    <xf numFmtId="0" fontId="2" fillId="0" borderId="0" xfId="0" applyFont="1"/>
    <xf numFmtId="0" fontId="0" fillId="3" borderId="0" xfId="0" applyFill="1"/>
    <xf numFmtId="165" fontId="3" fillId="3" borderId="0" xfId="0" applyNumberFormat="1" applyFont="1" applyFill="1"/>
    <xf numFmtId="0" fontId="0" fillId="4" borderId="0" xfId="0" applyFill="1"/>
    <xf numFmtId="0" fontId="0" fillId="5" borderId="0" xfId="0" applyFill="1"/>
    <xf numFmtId="164" fontId="0" fillId="5" borderId="0" xfId="0" applyNumberFormat="1" applyFill="1"/>
    <xf numFmtId="0" fontId="0" fillId="6" borderId="0" xfId="0" applyFill="1"/>
    <xf numFmtId="164" fontId="0" fillId="6" borderId="0" xfId="0" applyNumberFormat="1" applyFill="1"/>
    <xf numFmtId="0" fontId="2" fillId="2" borderId="0" xfId="0" applyFont="1" applyFill="1"/>
    <xf numFmtId="0" fontId="2" fillId="2" borderId="0" xfId="0" applyFont="1" applyFill="1" applyAlignment="1">
      <alignment horizontal="center"/>
    </xf>
    <xf numFmtId="8" fontId="0" fillId="0" borderId="0" xfId="0" applyNumberFormat="1"/>
    <xf numFmtId="0" fontId="0" fillId="0" borderId="0" xfId="0" applyAlignment="1">
      <alignment horizontal="center"/>
    </xf>
    <xf numFmtId="164" fontId="0" fillId="0" borderId="0" xfId="1" applyNumberFormat="1" applyFont="1" applyAlignment="1">
      <alignment horizontal="center"/>
    </xf>
    <xf numFmtId="6" fontId="0" fillId="0" borderId="0" xfId="0" applyNumberFormat="1"/>
    <xf numFmtId="165" fontId="0" fillId="0" borderId="0" xfId="0" applyNumberFormat="1" applyAlignment="1">
      <alignment horizontal="center"/>
    </xf>
    <xf numFmtId="0" fontId="2" fillId="7" borderId="0" xfId="0" applyFont="1" applyFill="1" applyAlignment="1">
      <alignment horizontal="center"/>
    </xf>
    <xf numFmtId="0" fontId="2" fillId="7" borderId="0" xfId="0" applyFont="1" applyFill="1"/>
    <xf numFmtId="6" fontId="4" fillId="0" borderId="0" xfId="0" applyNumberFormat="1" applyFont="1"/>
    <xf numFmtId="0" fontId="0" fillId="0" borderId="1" xfId="0" applyBorder="1" applyAlignment="1">
      <alignment horizontal="center"/>
    </xf>
    <xf numFmtId="165" fontId="0" fillId="0" borderId="1" xfId="0" applyNumberFormat="1" applyBorder="1" applyAlignment="1">
      <alignment horizontal="center"/>
    </xf>
    <xf numFmtId="164" fontId="0" fillId="0" borderId="1" xfId="1" applyNumberFormat="1" applyFont="1" applyBorder="1"/>
    <xf numFmtId="164" fontId="0" fillId="0" borderId="1" xfId="0" applyNumberFormat="1" applyBorder="1"/>
    <xf numFmtId="0" fontId="0" fillId="0" borderId="1" xfId="0" applyBorder="1"/>
    <xf numFmtId="0" fontId="2" fillId="7" borderId="0" xfId="0" applyFont="1" applyFill="1" applyAlignment="1"/>
    <xf numFmtId="43" fontId="0" fillId="0" borderId="0" xfId="1" applyFont="1" applyAlignment="1">
      <alignment horizontal="center"/>
    </xf>
    <xf numFmtId="43" fontId="0" fillId="0" borderId="0" xfId="1" applyFont="1" applyAlignment="1">
      <alignment horizontal="left" indent="1"/>
    </xf>
    <xf numFmtId="8" fontId="0" fillId="4" borderId="0" xfId="0" applyNumberFormat="1" applyFill="1"/>
    <xf numFmtId="6" fontId="4" fillId="4" borderId="0" xfId="0" applyNumberFormat="1" applyFont="1" applyFill="1"/>
    <xf numFmtId="0" fontId="0" fillId="0" borderId="0" xfId="0" quotePrefix="1"/>
    <xf numFmtId="43" fontId="0" fillId="0" borderId="0" xfId="0" applyNumberFormat="1"/>
    <xf numFmtId="8" fontId="2" fillId="0" borderId="0" xfId="0" applyNumberFormat="1" applyFont="1"/>
    <xf numFmtId="166" fontId="4" fillId="0" borderId="0" xfId="0" applyNumberFormat="1" applyFont="1"/>
    <xf numFmtId="43" fontId="0" fillId="8" borderId="0" xfId="1" applyFont="1" applyFill="1"/>
  </cellXfs>
  <cellStyles count="2">
    <cellStyle name="Comma" xfId="1" builtinId="3"/>
    <cellStyle name="Normal" xfId="0" builtinId="0"/>
  </cellStyles>
  <dxfs count="0"/>
  <tableStyles count="0" defaultTableStyle="TableStyleMedium2" defaultPivotStyle="PivotStyleLight16"/>
  <colors>
    <mruColors>
      <color rgb="FFFF00FF"/>
      <color rgb="FF9999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7</xdr:col>
      <xdr:colOff>676275</xdr:colOff>
      <xdr:row>1</xdr:row>
      <xdr:rowOff>66673</xdr:rowOff>
    </xdr:from>
    <xdr:to>
      <xdr:col>11</xdr:col>
      <xdr:colOff>609600</xdr:colOff>
      <xdr:row>12</xdr:row>
      <xdr:rowOff>38099</xdr:rowOff>
    </xdr:to>
    <xdr:sp macro="" textlink="">
      <xdr:nvSpPr>
        <xdr:cNvPr id="2" name="TextBox 1"/>
        <xdr:cNvSpPr txBox="1"/>
      </xdr:nvSpPr>
      <xdr:spPr>
        <a:xfrm>
          <a:off x="7848600" y="266698"/>
          <a:ext cx="3390900" cy="2171701"/>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t>0.55 in column</a:t>
          </a:r>
          <a:r>
            <a:rPr lang="en-US" sz="1100" b="1" baseline="0"/>
            <a:t> E is calculated as follows:</a:t>
          </a:r>
        </a:p>
        <a:p>
          <a:endParaRPr lang="en-US" sz="1100" baseline="0"/>
        </a:p>
        <a:p>
          <a:r>
            <a:rPr lang="en-US" sz="1100" baseline="0"/>
            <a:t>Centralia's 0.4 debt/Value ratio suggests that the EUR5.5m project will be finannced by EUR2.2m debt; at the current exchange rate of 1.32 it is equivalent to 2,904,000. We indicated that this is the debt capacity created by the project. But the concessionary loan of EUR4,000,000 suggests that  4,000,000/5,500,000 of the project is financed by debt; that makes 73.72% of the capital structure of the project. In order to correctly account for the ITS, we need to account for 0.4/0.73=0.55 of the calculated ITS</a:t>
          </a:r>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371475</xdr:colOff>
      <xdr:row>8</xdr:row>
      <xdr:rowOff>171450</xdr:rowOff>
    </xdr:from>
    <xdr:to>
      <xdr:col>8</xdr:col>
      <xdr:colOff>333375</xdr:colOff>
      <xdr:row>16</xdr:row>
      <xdr:rowOff>57150</xdr:rowOff>
    </xdr:to>
    <xdr:sp macro="" textlink="">
      <xdr:nvSpPr>
        <xdr:cNvPr id="2" name="TextBox 1"/>
        <xdr:cNvSpPr txBox="1"/>
      </xdr:nvSpPr>
      <xdr:spPr>
        <a:xfrm>
          <a:off x="1057275" y="1771650"/>
          <a:ext cx="5838825" cy="14859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EBT</a:t>
          </a:r>
          <a:r>
            <a:rPr lang="en-US" sz="1100" baseline="0"/>
            <a:t> -EBT x Tax Rate=EAT</a:t>
          </a:r>
        </a:p>
        <a:p>
          <a:r>
            <a:rPr lang="en-US" sz="1100"/>
            <a:t>EBTx(1-Tax)=750,000</a:t>
          </a:r>
        </a:p>
        <a:p>
          <a:r>
            <a:rPr lang="en-US" sz="1100"/>
            <a:t>EBTx(1-0.2)=750,000</a:t>
          </a:r>
        </a:p>
        <a:p>
          <a:r>
            <a:rPr lang="en-US" sz="1100"/>
            <a:t>EBT=750,000/(1-0.2)=EUR937,500</a:t>
          </a:r>
        </a:p>
        <a:p>
          <a:r>
            <a:rPr lang="en-US" sz="1100"/>
            <a:t> Spot</a:t>
          </a:r>
          <a:r>
            <a:rPr lang="en-US" sz="1100" baseline="0"/>
            <a:t> Rate=1.32 </a:t>
          </a:r>
        </a:p>
        <a:p>
          <a:pPr marL="0" marR="0" lvl="0" indent="0" defTabSz="914400" eaLnBrk="1" fontAlgn="auto" latinLnBrk="0" hangingPunct="1">
            <a:lnSpc>
              <a:spcPct val="100000"/>
            </a:lnSpc>
            <a:spcBef>
              <a:spcPts val="0"/>
            </a:spcBef>
            <a:spcAft>
              <a:spcPts val="0"/>
            </a:spcAft>
            <a:buClrTx/>
            <a:buSzTx/>
            <a:buFontTx/>
            <a:buNone/>
            <a:tabLst/>
            <a:defRPr/>
          </a:pPr>
          <a:r>
            <a:rPr lang="en-US" sz="1100" baseline="0"/>
            <a:t>EBT ($)=</a:t>
          </a:r>
          <a:r>
            <a:rPr lang="en-US" sz="1100">
              <a:solidFill>
                <a:schemeClr val="dk1"/>
              </a:solidFill>
              <a:effectLst/>
              <a:latin typeface="+mn-lt"/>
              <a:ea typeface="+mn-ea"/>
              <a:cs typeface="+mn-cs"/>
            </a:rPr>
            <a:t>EUR937,500 x 1.32=$1,237,500</a:t>
          </a:r>
          <a:endParaRPr lang="en-US">
            <a:effectLst/>
          </a:endParaRPr>
        </a:p>
        <a:p>
          <a:endParaRPr lang="en-US" sz="1100"/>
        </a:p>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542925</xdr:colOff>
      <xdr:row>13</xdr:row>
      <xdr:rowOff>190500</xdr:rowOff>
    </xdr:from>
    <xdr:to>
      <xdr:col>14</xdr:col>
      <xdr:colOff>504825</xdr:colOff>
      <xdr:row>20</xdr:row>
      <xdr:rowOff>95250</xdr:rowOff>
    </xdr:to>
    <xdr:sp macro="" textlink="">
      <xdr:nvSpPr>
        <xdr:cNvPr id="25" name="TextBox 24"/>
        <xdr:cNvSpPr txBox="1"/>
      </xdr:nvSpPr>
      <xdr:spPr>
        <a:xfrm>
          <a:off x="1914525" y="2790825"/>
          <a:ext cx="8191500" cy="13049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a:t>APV model suuggests that</a:t>
          </a:r>
          <a:r>
            <a:rPr lang="en-US" sz="1600" baseline="0"/>
            <a:t> we account for </a:t>
          </a:r>
          <a:r>
            <a:rPr lang="en-US" sz="1600" b="1" baseline="0"/>
            <a:t>Incremental Operating Cash Flows</a:t>
          </a:r>
          <a:r>
            <a:rPr lang="en-US" sz="1600" baseline="0"/>
            <a:t>, the impact of </a:t>
          </a:r>
          <a:r>
            <a:rPr lang="en-US" sz="1600" b="1" baseline="0"/>
            <a:t>Depreciation Tax shield</a:t>
          </a:r>
          <a:r>
            <a:rPr lang="en-US" sz="1600" baseline="0"/>
            <a:t>,   </a:t>
          </a:r>
          <a:r>
            <a:rPr lang="en-US" sz="1600" b="1" baseline="0"/>
            <a:t>Interest tax shield </a:t>
          </a:r>
          <a:r>
            <a:rPr lang="en-US" sz="1600" baseline="0"/>
            <a:t>due to additional borrowing capacity or actual debt financing, </a:t>
          </a:r>
          <a:r>
            <a:rPr lang="en-US" sz="1600" b="1" baseline="0"/>
            <a:t>value of the concessionary loan</a:t>
          </a:r>
          <a:r>
            <a:rPr lang="en-US" sz="1600" baseline="0"/>
            <a:t>, </a:t>
          </a:r>
          <a:r>
            <a:rPr lang="en-US" sz="1600" b="1" baseline="0"/>
            <a:t>released restricted funds</a:t>
          </a:r>
          <a:r>
            <a:rPr lang="en-US" sz="1600" baseline="0"/>
            <a:t>, </a:t>
          </a:r>
          <a:r>
            <a:rPr lang="en-US" sz="1600" b="1" baseline="0"/>
            <a:t>terminal value</a:t>
          </a:r>
          <a:r>
            <a:rPr lang="en-US" sz="1600" baseline="0"/>
            <a:t> and </a:t>
          </a:r>
          <a:r>
            <a:rPr lang="en-US" sz="1600" b="1" baseline="0"/>
            <a:t>investment outlay</a:t>
          </a:r>
          <a:r>
            <a:rPr lang="en-US" sz="1600" baseline="0"/>
            <a:t>!  </a:t>
          </a:r>
          <a:endParaRPr lang="en-US" sz="1600"/>
        </a:p>
      </xdr:txBody>
    </xdr:sp>
    <xdr:clientData/>
  </xdr:twoCellAnchor>
  <mc:AlternateContent xmlns:mc="http://schemas.openxmlformats.org/markup-compatibility/2006">
    <mc:Choice xmlns:a14="http://schemas.microsoft.com/office/drawing/2010/main" Requires="a14">
      <xdr:twoCellAnchor editAs="oneCell">
        <xdr:from>
          <xdr:col>2</xdr:col>
          <xdr:colOff>381000</xdr:colOff>
          <xdr:row>7</xdr:row>
          <xdr:rowOff>99060</xdr:rowOff>
        </xdr:from>
        <xdr:to>
          <xdr:col>11</xdr:col>
          <xdr:colOff>182880</xdr:colOff>
          <xdr:row>9</xdr:row>
          <xdr:rowOff>182880</xdr:rowOff>
        </xdr:to>
        <xdr:sp macro="" textlink="">
          <xdr:nvSpPr>
            <xdr:cNvPr id="6145" name="Object 1" hidden="1">
              <a:extLst>
                <a:ext uri="{63B3BB69-23CF-44E3-9099-C40C66FF867C}">
                  <a14:compatExt spid="_x0000_s614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xdr:spPr>
        </xdr:sp>
        <xdr:clientData/>
      </xdr:twoCellAnchor>
    </mc:Choice>
    <mc:Fallback/>
  </mc:AlternateContent>
  <xdr:twoCellAnchor>
    <xdr:from>
      <xdr:col>3</xdr:col>
      <xdr:colOff>95250</xdr:colOff>
      <xdr:row>5</xdr:row>
      <xdr:rowOff>161925</xdr:rowOff>
    </xdr:from>
    <xdr:to>
      <xdr:col>3</xdr:col>
      <xdr:colOff>1581150</xdr:colOff>
      <xdr:row>12</xdr:row>
      <xdr:rowOff>0</xdr:rowOff>
    </xdr:to>
    <xdr:sp macro="" textlink="">
      <xdr:nvSpPr>
        <xdr:cNvPr id="26" name="Oval 25"/>
        <xdr:cNvSpPr/>
      </xdr:nvSpPr>
      <xdr:spPr>
        <a:xfrm>
          <a:off x="2152650" y="1162050"/>
          <a:ext cx="1485900" cy="12382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xdr:col>
      <xdr:colOff>95250</xdr:colOff>
      <xdr:row>1</xdr:row>
      <xdr:rowOff>171450</xdr:rowOff>
    </xdr:from>
    <xdr:to>
      <xdr:col>4</xdr:col>
      <xdr:colOff>133350</xdr:colOff>
      <xdr:row>3</xdr:row>
      <xdr:rowOff>104775</xdr:rowOff>
    </xdr:to>
    <xdr:sp macro="" textlink="">
      <xdr:nvSpPr>
        <xdr:cNvPr id="27" name="TextBox 26"/>
        <xdr:cNvSpPr txBox="1"/>
      </xdr:nvSpPr>
      <xdr:spPr>
        <a:xfrm>
          <a:off x="781050" y="371475"/>
          <a:ext cx="2095500" cy="333375"/>
        </a:xfrm>
        <a:prstGeom prst="rect">
          <a:avLst/>
        </a:prstGeom>
        <a:solidFill>
          <a:schemeClr val="accent1">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Incemental Operating Cash Flows</a:t>
          </a:r>
        </a:p>
      </xdr:txBody>
    </xdr:sp>
    <xdr:clientData/>
  </xdr:twoCellAnchor>
  <xdr:twoCellAnchor>
    <xdr:from>
      <xdr:col>2</xdr:col>
      <xdr:colOff>619125</xdr:colOff>
      <xdr:row>3</xdr:row>
      <xdr:rowOff>161925</xdr:rowOff>
    </xdr:from>
    <xdr:to>
      <xdr:col>3</xdr:col>
      <xdr:colOff>542925</xdr:colOff>
      <xdr:row>5</xdr:row>
      <xdr:rowOff>171450</xdr:rowOff>
    </xdr:to>
    <xdr:cxnSp macro="">
      <xdr:nvCxnSpPr>
        <xdr:cNvPr id="29" name="Straight Arrow Connector 28"/>
        <xdr:cNvCxnSpPr/>
      </xdr:nvCxnSpPr>
      <xdr:spPr>
        <a:xfrm flipH="1" flipV="1">
          <a:off x="1990725" y="762000"/>
          <a:ext cx="609600" cy="40957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1562100</xdr:colOff>
      <xdr:row>5</xdr:row>
      <xdr:rowOff>200024</xdr:rowOff>
    </xdr:from>
    <xdr:to>
      <xdr:col>4</xdr:col>
      <xdr:colOff>981075</xdr:colOff>
      <xdr:row>11</xdr:row>
      <xdr:rowOff>95249</xdr:rowOff>
    </xdr:to>
    <xdr:sp macro="" textlink="">
      <xdr:nvSpPr>
        <xdr:cNvPr id="31" name="Oval 30"/>
        <xdr:cNvSpPr/>
      </xdr:nvSpPr>
      <xdr:spPr>
        <a:xfrm>
          <a:off x="3619500" y="1200149"/>
          <a:ext cx="1076325" cy="10953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4</xdr:col>
      <xdr:colOff>466725</xdr:colOff>
      <xdr:row>1</xdr:row>
      <xdr:rowOff>180975</xdr:rowOff>
    </xdr:from>
    <xdr:to>
      <xdr:col>7</xdr:col>
      <xdr:colOff>504825</xdr:colOff>
      <xdr:row>3</xdr:row>
      <xdr:rowOff>114300</xdr:rowOff>
    </xdr:to>
    <xdr:sp macro="" textlink="">
      <xdr:nvSpPr>
        <xdr:cNvPr id="32" name="TextBox 31"/>
        <xdr:cNvSpPr txBox="1"/>
      </xdr:nvSpPr>
      <xdr:spPr>
        <a:xfrm>
          <a:off x="3209925" y="381000"/>
          <a:ext cx="2095500" cy="333375"/>
        </a:xfrm>
        <a:prstGeom prst="rect">
          <a:avLst/>
        </a:prstGeom>
        <a:solidFill>
          <a:schemeClr val="accent2">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Depreciation</a:t>
          </a:r>
          <a:r>
            <a:rPr lang="en-US" sz="1100" baseline="0"/>
            <a:t> Tax Shield</a:t>
          </a:r>
          <a:endParaRPr lang="en-US" sz="1100"/>
        </a:p>
      </xdr:txBody>
    </xdr:sp>
    <xdr:clientData/>
  </xdr:twoCellAnchor>
  <xdr:twoCellAnchor>
    <xdr:from>
      <xdr:col>4</xdr:col>
      <xdr:colOff>800100</xdr:colOff>
      <xdr:row>5</xdr:row>
      <xdr:rowOff>123824</xdr:rowOff>
    </xdr:from>
    <xdr:to>
      <xdr:col>6</xdr:col>
      <xdr:colOff>171450</xdr:colOff>
      <xdr:row>11</xdr:row>
      <xdr:rowOff>19049</xdr:rowOff>
    </xdr:to>
    <xdr:sp macro="" textlink="">
      <xdr:nvSpPr>
        <xdr:cNvPr id="33" name="Oval 32"/>
        <xdr:cNvSpPr/>
      </xdr:nvSpPr>
      <xdr:spPr>
        <a:xfrm>
          <a:off x="4514850" y="1123949"/>
          <a:ext cx="1076325" cy="10953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7</xdr:col>
      <xdr:colOff>619125</xdr:colOff>
      <xdr:row>0</xdr:row>
      <xdr:rowOff>161925</xdr:rowOff>
    </xdr:from>
    <xdr:to>
      <xdr:col>10</xdr:col>
      <xdr:colOff>657225</xdr:colOff>
      <xdr:row>2</xdr:row>
      <xdr:rowOff>95250</xdr:rowOff>
    </xdr:to>
    <xdr:sp macro="" textlink="">
      <xdr:nvSpPr>
        <xdr:cNvPr id="34" name="TextBox 33"/>
        <xdr:cNvSpPr txBox="1"/>
      </xdr:nvSpPr>
      <xdr:spPr>
        <a:xfrm>
          <a:off x="5419725" y="161925"/>
          <a:ext cx="2095500" cy="333375"/>
        </a:xfrm>
        <a:prstGeom prst="rect">
          <a:avLst/>
        </a:prstGeom>
        <a:solidFill>
          <a:schemeClr val="accent4">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Interest </a:t>
          </a:r>
          <a:r>
            <a:rPr lang="en-US" sz="1100" baseline="0"/>
            <a:t> Tax Shield</a:t>
          </a:r>
          <a:endParaRPr lang="en-US" sz="1100"/>
        </a:p>
      </xdr:txBody>
    </xdr:sp>
    <xdr:clientData/>
  </xdr:twoCellAnchor>
  <xdr:twoCellAnchor>
    <xdr:from>
      <xdr:col>4</xdr:col>
      <xdr:colOff>638175</xdr:colOff>
      <xdr:row>3</xdr:row>
      <xdr:rowOff>123825</xdr:rowOff>
    </xdr:from>
    <xdr:to>
      <xdr:col>4</xdr:col>
      <xdr:colOff>895350</xdr:colOff>
      <xdr:row>6</xdr:row>
      <xdr:rowOff>19050</xdr:rowOff>
    </xdr:to>
    <xdr:cxnSp macro="">
      <xdr:nvCxnSpPr>
        <xdr:cNvPr id="35" name="Straight Arrow Connector 34"/>
        <xdr:cNvCxnSpPr/>
      </xdr:nvCxnSpPr>
      <xdr:spPr>
        <a:xfrm flipV="1">
          <a:off x="4352925" y="723900"/>
          <a:ext cx="257175" cy="495300"/>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114300</xdr:colOff>
      <xdr:row>2</xdr:row>
      <xdr:rowOff>19050</xdr:rowOff>
    </xdr:from>
    <xdr:to>
      <xdr:col>8</xdr:col>
      <xdr:colOff>142875</xdr:colOff>
      <xdr:row>6</xdr:row>
      <xdr:rowOff>66675</xdr:rowOff>
    </xdr:to>
    <xdr:cxnSp macro="">
      <xdr:nvCxnSpPr>
        <xdr:cNvPr id="37" name="Straight Arrow Connector 36"/>
        <xdr:cNvCxnSpPr/>
      </xdr:nvCxnSpPr>
      <xdr:spPr>
        <a:xfrm flipV="1">
          <a:off x="5534025" y="419100"/>
          <a:ext cx="1400175" cy="847725"/>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200025</xdr:colOff>
      <xdr:row>6</xdr:row>
      <xdr:rowOff>95249</xdr:rowOff>
    </xdr:from>
    <xdr:to>
      <xdr:col>9</xdr:col>
      <xdr:colOff>247650</xdr:colOff>
      <xdr:row>11</xdr:row>
      <xdr:rowOff>190499</xdr:rowOff>
    </xdr:to>
    <xdr:sp macro="" textlink="">
      <xdr:nvSpPr>
        <xdr:cNvPr id="40" name="Oval 39"/>
        <xdr:cNvSpPr/>
      </xdr:nvSpPr>
      <xdr:spPr>
        <a:xfrm>
          <a:off x="6305550" y="1295399"/>
          <a:ext cx="1419225" cy="10953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8</xdr:col>
      <xdr:colOff>495300</xdr:colOff>
      <xdr:row>3</xdr:row>
      <xdr:rowOff>152400</xdr:rowOff>
    </xdr:from>
    <xdr:to>
      <xdr:col>11</xdr:col>
      <xdr:colOff>533400</xdr:colOff>
      <xdr:row>5</xdr:row>
      <xdr:rowOff>85725</xdr:rowOff>
    </xdr:to>
    <xdr:sp macro="" textlink="">
      <xdr:nvSpPr>
        <xdr:cNvPr id="41" name="TextBox 40"/>
        <xdr:cNvSpPr txBox="1"/>
      </xdr:nvSpPr>
      <xdr:spPr>
        <a:xfrm>
          <a:off x="5981700" y="752475"/>
          <a:ext cx="2095500" cy="333375"/>
        </a:xfrm>
        <a:prstGeom prst="rect">
          <a:avLst/>
        </a:prstGeom>
        <a:solidFill>
          <a:schemeClr val="accent6">
            <a:lumMod val="40000"/>
            <a:lumOff val="6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PV of Terminal Value</a:t>
          </a:r>
        </a:p>
      </xdr:txBody>
    </xdr:sp>
    <xdr:clientData/>
  </xdr:twoCellAnchor>
  <xdr:twoCellAnchor>
    <xdr:from>
      <xdr:col>9</xdr:col>
      <xdr:colOff>209550</xdr:colOff>
      <xdr:row>5</xdr:row>
      <xdr:rowOff>95250</xdr:rowOff>
    </xdr:from>
    <xdr:to>
      <xdr:col>11</xdr:col>
      <xdr:colOff>333375</xdr:colOff>
      <xdr:row>11</xdr:row>
      <xdr:rowOff>171450</xdr:rowOff>
    </xdr:to>
    <xdr:sp macro="" textlink="">
      <xdr:nvSpPr>
        <xdr:cNvPr id="44" name="Oval 43"/>
        <xdr:cNvSpPr/>
      </xdr:nvSpPr>
      <xdr:spPr>
        <a:xfrm>
          <a:off x="6381750" y="1095375"/>
          <a:ext cx="1495425" cy="1276350"/>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11</xdr:col>
      <xdr:colOff>390525</xdr:colOff>
      <xdr:row>0</xdr:row>
      <xdr:rowOff>190500</xdr:rowOff>
    </xdr:from>
    <xdr:to>
      <xdr:col>14</xdr:col>
      <xdr:colOff>428625</xdr:colOff>
      <xdr:row>2</xdr:row>
      <xdr:rowOff>123825</xdr:rowOff>
    </xdr:to>
    <xdr:sp macro="" textlink="">
      <xdr:nvSpPr>
        <xdr:cNvPr id="45" name="TextBox 44"/>
        <xdr:cNvSpPr txBox="1"/>
      </xdr:nvSpPr>
      <xdr:spPr>
        <a:xfrm>
          <a:off x="7934325" y="190500"/>
          <a:ext cx="2095500" cy="333375"/>
        </a:xfrm>
        <a:prstGeom prst="rect">
          <a:avLst/>
        </a:prstGeom>
        <a:solidFill>
          <a:srgbClr val="FF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Value</a:t>
          </a:r>
          <a:r>
            <a:rPr lang="en-US" sz="1100" baseline="0"/>
            <a:t> of Concessionary Loan</a:t>
          </a:r>
          <a:endParaRPr lang="en-US" sz="1100"/>
        </a:p>
      </xdr:txBody>
    </xdr:sp>
    <xdr:clientData/>
  </xdr:twoCellAnchor>
  <xdr:twoCellAnchor>
    <xdr:from>
      <xdr:col>8</xdr:col>
      <xdr:colOff>666750</xdr:colOff>
      <xdr:row>2</xdr:row>
      <xdr:rowOff>114300</xdr:rowOff>
    </xdr:from>
    <xdr:to>
      <xdr:col>11</xdr:col>
      <xdr:colOff>323850</xdr:colOff>
      <xdr:row>6</xdr:row>
      <xdr:rowOff>133351</xdr:rowOff>
    </xdr:to>
    <xdr:cxnSp macro="">
      <xdr:nvCxnSpPr>
        <xdr:cNvPr id="46" name="Straight Arrow Connector 45"/>
        <xdr:cNvCxnSpPr/>
      </xdr:nvCxnSpPr>
      <xdr:spPr>
        <a:xfrm flipV="1">
          <a:off x="7458075" y="514350"/>
          <a:ext cx="1714500" cy="819151"/>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104775</xdr:colOff>
      <xdr:row>6</xdr:row>
      <xdr:rowOff>85725</xdr:rowOff>
    </xdr:from>
    <xdr:to>
      <xdr:col>7</xdr:col>
      <xdr:colOff>228600</xdr:colOff>
      <xdr:row>10</xdr:row>
      <xdr:rowOff>152400</xdr:rowOff>
    </xdr:to>
    <xdr:sp macro="" textlink="">
      <xdr:nvSpPr>
        <xdr:cNvPr id="48" name="Oval 47"/>
        <xdr:cNvSpPr/>
      </xdr:nvSpPr>
      <xdr:spPr>
        <a:xfrm>
          <a:off x="5524500" y="1285875"/>
          <a:ext cx="809625" cy="8667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12</xdr:col>
      <xdr:colOff>161925</xdr:colOff>
      <xdr:row>3</xdr:row>
      <xdr:rowOff>152400</xdr:rowOff>
    </xdr:from>
    <xdr:to>
      <xdr:col>15</xdr:col>
      <xdr:colOff>200025</xdr:colOff>
      <xdr:row>5</xdr:row>
      <xdr:rowOff>85725</xdr:rowOff>
    </xdr:to>
    <xdr:sp macro="" textlink="">
      <xdr:nvSpPr>
        <xdr:cNvPr id="49" name="TextBox 48"/>
        <xdr:cNvSpPr txBox="1"/>
      </xdr:nvSpPr>
      <xdr:spPr>
        <a:xfrm>
          <a:off x="8391525" y="752475"/>
          <a:ext cx="2095500" cy="333375"/>
        </a:xfrm>
        <a:prstGeom prst="rect">
          <a:avLst/>
        </a:prstGeom>
        <a:solidFill>
          <a:srgbClr val="9999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Released Restricted Funds</a:t>
          </a:r>
        </a:p>
      </xdr:txBody>
    </xdr:sp>
    <xdr:clientData/>
  </xdr:twoCellAnchor>
  <xdr:twoCellAnchor>
    <xdr:from>
      <xdr:col>7</xdr:col>
      <xdr:colOff>200025</xdr:colOff>
      <xdr:row>5</xdr:row>
      <xdr:rowOff>19051</xdr:rowOff>
    </xdr:from>
    <xdr:to>
      <xdr:col>8</xdr:col>
      <xdr:colOff>447675</xdr:colOff>
      <xdr:row>6</xdr:row>
      <xdr:rowOff>152400</xdr:rowOff>
    </xdr:to>
    <xdr:cxnSp macro="">
      <xdr:nvCxnSpPr>
        <xdr:cNvPr id="50" name="Straight Arrow Connector 49"/>
        <xdr:cNvCxnSpPr/>
      </xdr:nvCxnSpPr>
      <xdr:spPr>
        <a:xfrm flipV="1">
          <a:off x="6305550" y="1019176"/>
          <a:ext cx="933450" cy="333374"/>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361950</xdr:colOff>
      <xdr:row>6</xdr:row>
      <xdr:rowOff>9525</xdr:rowOff>
    </xdr:from>
    <xdr:to>
      <xdr:col>11</xdr:col>
      <xdr:colOff>485775</xdr:colOff>
      <xdr:row>10</xdr:row>
      <xdr:rowOff>76200</xdr:rowOff>
    </xdr:to>
    <xdr:sp macro="" textlink="">
      <xdr:nvSpPr>
        <xdr:cNvPr id="52" name="Oval 51"/>
        <xdr:cNvSpPr/>
      </xdr:nvSpPr>
      <xdr:spPr>
        <a:xfrm>
          <a:off x="8524875" y="1209675"/>
          <a:ext cx="809625" cy="866775"/>
        </a:xfrm>
        <a:prstGeom prst="ellipse">
          <a:avLst/>
        </a:prstGeom>
        <a:noFill/>
        <a:ln>
          <a:solidFill>
            <a:srgbClr val="C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14</xdr:col>
      <xdr:colOff>9525</xdr:colOff>
      <xdr:row>6</xdr:row>
      <xdr:rowOff>9525</xdr:rowOff>
    </xdr:from>
    <xdr:to>
      <xdr:col>17</xdr:col>
      <xdr:colOff>47625</xdr:colOff>
      <xdr:row>7</xdr:row>
      <xdr:rowOff>142875</xdr:rowOff>
    </xdr:to>
    <xdr:sp macro="" textlink="">
      <xdr:nvSpPr>
        <xdr:cNvPr id="56" name="TextBox 55"/>
        <xdr:cNvSpPr txBox="1"/>
      </xdr:nvSpPr>
      <xdr:spPr>
        <a:xfrm>
          <a:off x="9610725" y="1209675"/>
          <a:ext cx="2095500" cy="333375"/>
        </a:xfrm>
        <a:prstGeom prst="rect">
          <a:avLst/>
        </a:prstGeom>
        <a:solidFill>
          <a:schemeClr val="accent4"/>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Investment</a:t>
          </a:r>
          <a:r>
            <a:rPr lang="en-US" sz="1100" baseline="0"/>
            <a:t> Outlay</a:t>
          </a:r>
          <a:endParaRPr lang="en-US" sz="1100"/>
        </a:p>
      </xdr:txBody>
    </xdr:sp>
    <xdr:clientData/>
  </xdr:twoCellAnchor>
  <xdr:twoCellAnchor>
    <xdr:from>
      <xdr:col>11</xdr:col>
      <xdr:colOff>485775</xdr:colOff>
      <xdr:row>6</xdr:row>
      <xdr:rowOff>95250</xdr:rowOff>
    </xdr:from>
    <xdr:to>
      <xdr:col>12</xdr:col>
      <xdr:colOff>333375</xdr:colOff>
      <xdr:row>7</xdr:row>
      <xdr:rowOff>119063</xdr:rowOff>
    </xdr:to>
    <xdr:cxnSp macro="">
      <xdr:nvCxnSpPr>
        <xdr:cNvPr id="57" name="Straight Arrow Connector 56"/>
        <xdr:cNvCxnSpPr/>
      </xdr:nvCxnSpPr>
      <xdr:spPr>
        <a:xfrm flipV="1">
          <a:off x="9334500" y="1295400"/>
          <a:ext cx="533400" cy="223838"/>
        </a:xfrm>
        <a:prstGeom prst="straightConnector1">
          <a:avLst/>
        </a:prstGeom>
        <a:ln>
          <a:solidFill>
            <a:srgbClr val="C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oleObject" Target="../embeddings/oleObject1.bin"/><Relationship Id="rId2" Type="http://schemas.openxmlformats.org/officeDocument/2006/relationships/vmlDrawing" Target="../drawings/vmlDrawing1.vml"/><Relationship Id="rId1" Type="http://schemas.openxmlformats.org/officeDocument/2006/relationships/drawing" Target="../drawings/drawing3.xml"/><Relationship Id="rId4" Type="http://schemas.openxmlformats.org/officeDocument/2006/relationships/image" Target="../media/image1.emf"/></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2060"/>
  </sheetPr>
  <dimension ref="A2:B22"/>
  <sheetViews>
    <sheetView workbookViewId="0">
      <selection activeCell="B17" sqref="B17"/>
    </sheetView>
  </sheetViews>
  <sheetFormatPr defaultRowHeight="15.6" x14ac:dyDescent="0.3"/>
  <cols>
    <col min="1" max="1" width="35.3984375" bestFit="1" customWidth="1"/>
    <col min="2" max="2" width="13.69921875" bestFit="1" customWidth="1"/>
  </cols>
  <sheetData>
    <row r="2" spans="1:2" x14ac:dyDescent="0.3">
      <c r="A2" t="s">
        <v>0</v>
      </c>
      <c r="B2">
        <v>1.32</v>
      </c>
    </row>
    <row r="3" spans="1:2" x14ac:dyDescent="0.3">
      <c r="A3" t="s">
        <v>1</v>
      </c>
      <c r="B3" s="2">
        <v>0.03</v>
      </c>
    </row>
    <row r="4" spans="1:2" x14ac:dyDescent="0.3">
      <c r="A4" t="s">
        <v>2</v>
      </c>
      <c r="B4" s="2">
        <v>2.1000000000000001E-2</v>
      </c>
    </row>
    <row r="5" spans="1:2" x14ac:dyDescent="0.3">
      <c r="A5" t="s">
        <v>4</v>
      </c>
      <c r="B5" s="4">
        <v>25000</v>
      </c>
    </row>
    <row r="6" spans="1:2" x14ac:dyDescent="0.3">
      <c r="A6" t="s">
        <v>3</v>
      </c>
      <c r="B6" s="1">
        <v>0.12</v>
      </c>
    </row>
    <row r="7" spans="1:2" x14ac:dyDescent="0.3">
      <c r="A7" t="s">
        <v>5</v>
      </c>
      <c r="B7" s="4">
        <v>9600</v>
      </c>
    </row>
    <row r="8" spans="1:2" x14ac:dyDescent="0.3">
      <c r="A8" t="s">
        <v>6</v>
      </c>
      <c r="B8" s="1">
        <v>0.05</v>
      </c>
    </row>
    <row r="9" spans="1:2" x14ac:dyDescent="0.3">
      <c r="A9" t="s">
        <v>7</v>
      </c>
      <c r="B9" s="4">
        <v>-5500000</v>
      </c>
    </row>
    <row r="10" spans="1:2" x14ac:dyDescent="0.3">
      <c r="A10" t="s">
        <v>18</v>
      </c>
      <c r="B10" s="4">
        <f>+B9*B2</f>
        <v>-7260000</v>
      </c>
    </row>
    <row r="11" spans="1:2" x14ac:dyDescent="0.3">
      <c r="A11" t="s">
        <v>8</v>
      </c>
      <c r="B11" s="4">
        <f>-B9/8</f>
        <v>687500</v>
      </c>
    </row>
    <row r="12" spans="1:2" x14ac:dyDescent="0.3">
      <c r="A12" t="s">
        <v>9</v>
      </c>
      <c r="B12">
        <v>40</v>
      </c>
    </row>
    <row r="13" spans="1:2" x14ac:dyDescent="0.3">
      <c r="A13" t="s">
        <v>10</v>
      </c>
      <c r="B13">
        <v>35</v>
      </c>
    </row>
    <row r="14" spans="1:2" x14ac:dyDescent="0.3">
      <c r="A14" t="s">
        <v>11</v>
      </c>
      <c r="B14" s="1">
        <v>0.12</v>
      </c>
    </row>
    <row r="15" spans="1:2" x14ac:dyDescent="0.3">
      <c r="A15" t="s">
        <v>12</v>
      </c>
      <c r="B15" s="4">
        <v>4000000</v>
      </c>
    </row>
    <row r="16" spans="1:2" x14ac:dyDescent="0.3">
      <c r="A16" t="s">
        <v>13</v>
      </c>
      <c r="B16" s="4">
        <v>2904000</v>
      </c>
    </row>
    <row r="17" spans="1:2" x14ac:dyDescent="0.3">
      <c r="A17" t="s">
        <v>14</v>
      </c>
      <c r="B17" s="1">
        <v>0.2</v>
      </c>
    </row>
    <row r="18" spans="1:2" x14ac:dyDescent="0.3">
      <c r="A18" t="s">
        <v>15</v>
      </c>
      <c r="B18" s="1">
        <v>0.35</v>
      </c>
    </row>
    <row r="19" spans="1:2" x14ac:dyDescent="0.3">
      <c r="A19" t="s">
        <v>16</v>
      </c>
      <c r="B19" s="1">
        <v>0.35</v>
      </c>
    </row>
    <row r="20" spans="1:2" x14ac:dyDescent="0.3">
      <c r="A20" t="s">
        <v>17</v>
      </c>
      <c r="B20" s="4">
        <v>750000</v>
      </c>
    </row>
    <row r="21" spans="1:2" x14ac:dyDescent="0.3">
      <c r="A21" t="s">
        <v>60</v>
      </c>
      <c r="B21" s="1">
        <v>0.08</v>
      </c>
    </row>
    <row r="22" spans="1:2" x14ac:dyDescent="0.3">
      <c r="A22" t="s">
        <v>61</v>
      </c>
      <c r="B22" s="1">
        <v>0.05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J13"/>
  <sheetViews>
    <sheetView workbookViewId="0">
      <selection activeCell="C2" sqref="C2"/>
    </sheetView>
  </sheetViews>
  <sheetFormatPr defaultRowHeight="15.6" x14ac:dyDescent="0.3"/>
  <cols>
    <col min="1" max="1" width="27.59765625" bestFit="1" customWidth="1"/>
    <col min="2" max="2" width="13.09765625" bestFit="1" customWidth="1"/>
    <col min="3" max="10" width="12.59765625" bestFit="1" customWidth="1"/>
  </cols>
  <sheetData>
    <row r="1" spans="1:10" x14ac:dyDescent="0.3">
      <c r="A1" s="17" t="s">
        <v>19</v>
      </c>
      <c r="B1" s="18">
        <v>0</v>
      </c>
      <c r="C1" s="18">
        <v>1</v>
      </c>
      <c r="D1" s="18">
        <v>2</v>
      </c>
      <c r="E1" s="18">
        <v>3</v>
      </c>
      <c r="F1" s="18">
        <v>4</v>
      </c>
      <c r="G1" s="18">
        <v>5</v>
      </c>
      <c r="H1" s="18">
        <v>6</v>
      </c>
      <c r="I1" s="18">
        <v>7</v>
      </c>
      <c r="J1" s="18">
        <v>8</v>
      </c>
    </row>
    <row r="2" spans="1:10" x14ac:dyDescent="0.3">
      <c r="A2" s="10" t="s">
        <v>0</v>
      </c>
      <c r="B2" s="11">
        <v>1.32</v>
      </c>
      <c r="C2" s="11">
        <f>+$B$2*(((1+Assumptions!$B$3)^C1)/(1+Assumptions!$B$4))^C1</f>
        <v>1.3316356513222334</v>
      </c>
      <c r="D2" s="11">
        <f>+$B$2*((1+Assumptions!$B$3)^D1)/((1+Assumptions!$B$4))^D1</f>
        <v>1.3433738696002941</v>
      </c>
      <c r="E2" s="11">
        <f>+$B$2*((1+Assumptions!$B$3)^E1)/((1+Assumptions!$B$4))^E1</f>
        <v>1.3552155589503461</v>
      </c>
      <c r="F2" s="11">
        <f>+$B$2*((1+Assumptions!$B$3)^F1)/((1+Assumptions!$B$4))^F1</f>
        <v>1.3671616314582338</v>
      </c>
      <c r="G2" s="11">
        <f>+$B$2*((1+Assumptions!$B$3)^G1)/((1+Assumptions!$B$4))^G1</f>
        <v>1.3792130072497362</v>
      </c>
      <c r="H2" s="11">
        <f>+$B$2*((1+Assumptions!$B$3)^H1)/((1+Assumptions!$B$4))^H1</f>
        <v>1.3913706145614384</v>
      </c>
      <c r="I2" s="11">
        <f>+$B$2*((1+Assumptions!$B$3)^I1)/((1+Assumptions!$B$4))^I1</f>
        <v>1.4036353898122249</v>
      </c>
      <c r="J2" s="11">
        <f>+$B$2*((1+Assumptions!$B$3)^J1)/((1+Assumptions!$B$4))^J1</f>
        <v>1.4160082776754084</v>
      </c>
    </row>
    <row r="3" spans="1:10" x14ac:dyDescent="0.3">
      <c r="A3" t="s">
        <v>20</v>
      </c>
      <c r="C3" s="4">
        <f>+Assumptions!B5</f>
        <v>25000</v>
      </c>
      <c r="D3" s="4">
        <f>+C3*(1+Assumptions!$B$6)</f>
        <v>28000.000000000004</v>
      </c>
      <c r="E3" s="4">
        <f>+D3*(1+Assumptions!$B$6)</f>
        <v>31360.000000000007</v>
      </c>
      <c r="F3" s="4">
        <f>+E3*(1+Assumptions!$B$6)</f>
        <v>35123.200000000012</v>
      </c>
      <c r="G3" s="4">
        <f>+F3*(1+Assumptions!$B$6)</f>
        <v>39337.984000000019</v>
      </c>
      <c r="H3" s="4">
        <f>+G3*(1+Assumptions!$B$6)</f>
        <v>44058.542080000028</v>
      </c>
      <c r="I3" s="4">
        <f>+H3*(1+Assumptions!$B$6)</f>
        <v>49345.567129600036</v>
      </c>
      <c r="J3" s="4">
        <f>+I3*(1+Assumptions!$B$6)</f>
        <v>55267.035185152046</v>
      </c>
    </row>
    <row r="4" spans="1:10" x14ac:dyDescent="0.3">
      <c r="A4" t="s">
        <v>21</v>
      </c>
      <c r="C4" s="7">
        <v>40</v>
      </c>
      <c r="D4" s="7">
        <f>+C4*(1+Assumptions!$B$4)</f>
        <v>40.839999999999996</v>
      </c>
      <c r="E4" s="7">
        <f>+D4*(1+Assumptions!$B$4)</f>
        <v>41.697639999999993</v>
      </c>
      <c r="F4" s="7">
        <f>+E4*(1+Assumptions!$B$4)</f>
        <v>42.573290439999987</v>
      </c>
      <c r="G4" s="7">
        <f>+F4*(1+Assumptions!$B$4)</f>
        <v>43.467329539239984</v>
      </c>
      <c r="H4" s="7">
        <f>+G4*(1+Assumptions!$B$4)</f>
        <v>44.380143459564017</v>
      </c>
      <c r="I4" s="7">
        <f>+H4*(1+Assumptions!$B$4)</f>
        <v>45.312126472214857</v>
      </c>
      <c r="J4" s="7">
        <f>+I4*(1+Assumptions!$B$4)</f>
        <v>46.263681128131367</v>
      </c>
    </row>
    <row r="5" spans="1:10" x14ac:dyDescent="0.3">
      <c r="A5" t="s">
        <v>62</v>
      </c>
      <c r="C5" s="4">
        <f>+C4*C3</f>
        <v>1000000</v>
      </c>
      <c r="D5" s="4">
        <f t="shared" ref="D5:J5" si="0">+D4*D3</f>
        <v>1143520</v>
      </c>
      <c r="E5" s="4">
        <f t="shared" si="0"/>
        <v>1307637.9904</v>
      </c>
      <c r="F5" s="4">
        <f t="shared" si="0"/>
        <v>1495310.194782208</v>
      </c>
      <c r="G5" s="4">
        <f t="shared" si="0"/>
        <v>1709917.1139373507</v>
      </c>
      <c r="H5" s="4">
        <f t="shared" si="0"/>
        <v>1955324.4181296392</v>
      </c>
      <c r="I5" s="4">
        <f t="shared" si="0"/>
        <v>2235952.5786196049</v>
      </c>
      <c r="J5" s="4">
        <f t="shared" si="0"/>
        <v>2556856.4927030909</v>
      </c>
    </row>
    <row r="6" spans="1:10" x14ac:dyDescent="0.3">
      <c r="A6" s="13" t="s">
        <v>22</v>
      </c>
      <c r="B6" s="13"/>
      <c r="C6" s="14">
        <f>+C5*C2</f>
        <v>1331635.6513222335</v>
      </c>
      <c r="D6" s="14">
        <f t="shared" ref="D6:J6" si="1">+D5*D2</f>
        <v>1536174.8873653284</v>
      </c>
      <c r="E6" s="14">
        <f t="shared" si="1"/>
        <v>1772131.3500646432</v>
      </c>
      <c r="F6" s="14">
        <f t="shared" si="1"/>
        <v>2044330.7254345727</v>
      </c>
      <c r="G6" s="14">
        <f t="shared" si="1"/>
        <v>2358339.9248613231</v>
      </c>
      <c r="H6" s="14">
        <f t="shared" si="1"/>
        <v>2720580.9373200233</v>
      </c>
      <c r="I6" s="14">
        <f t="shared" si="1"/>
        <v>3138462.1692923787</v>
      </c>
      <c r="J6" s="14">
        <f t="shared" si="1"/>
        <v>3620529.9584956891</v>
      </c>
    </row>
    <row r="7" spans="1:10" x14ac:dyDescent="0.3">
      <c r="A7" t="s">
        <v>23</v>
      </c>
      <c r="C7">
        <f>+Assumptions!B13*(1+Assumptions!$B$3)</f>
        <v>36.050000000000004</v>
      </c>
      <c r="D7" s="7">
        <f>+C7*(1+Assumptions!$B$3)</f>
        <v>37.131500000000003</v>
      </c>
      <c r="E7" s="7">
        <f>+D7*(1+Assumptions!$B$3)</f>
        <v>38.245445000000004</v>
      </c>
      <c r="F7" s="7">
        <f>+E7*(1+Assumptions!$B$3)</f>
        <v>39.392808350000003</v>
      </c>
      <c r="G7" s="7">
        <f>+F7*(1+Assumptions!$B$3)</f>
        <v>40.574592600500004</v>
      </c>
      <c r="H7" s="7">
        <f>+G7*(1+Assumptions!$B$3)</f>
        <v>41.791830378515009</v>
      </c>
      <c r="I7" s="7">
        <f>+H7*(1+Assumptions!$B$3)</f>
        <v>43.045585289870459</v>
      </c>
      <c r="J7" s="7">
        <f>+I7*(1+Assumptions!$B$3)</f>
        <v>44.336952848566575</v>
      </c>
    </row>
    <row r="8" spans="1:10" x14ac:dyDescent="0.3">
      <c r="A8" t="s">
        <v>24</v>
      </c>
      <c r="C8" s="4">
        <f>+Assumptions!B7*(1+Assumptions!$B$8)</f>
        <v>10080</v>
      </c>
      <c r="D8" s="4">
        <f>+C8*(1+Assumptions!$B$8)</f>
        <v>10584</v>
      </c>
      <c r="E8" s="4">
        <f>+D8*(1+Assumptions!$B$8)</f>
        <v>11113.2</v>
      </c>
      <c r="F8" s="4">
        <f>+E8*(1+Assumptions!$B$8)</f>
        <v>11668.86</v>
      </c>
      <c r="G8" s="4">
        <f>+F8*(1+Assumptions!$B$8)</f>
        <v>12252.303000000002</v>
      </c>
      <c r="H8" s="4">
        <f>+G8*(1+Assumptions!$B$8)</f>
        <v>12864.918150000003</v>
      </c>
      <c r="I8" s="4">
        <f>+H8*(1+Assumptions!$B$8)</f>
        <v>13508.164057500004</v>
      </c>
      <c r="J8" s="4">
        <f>+I8*(1+Assumptions!$B$8)</f>
        <v>14183.572260375004</v>
      </c>
    </row>
    <row r="9" spans="1:10" x14ac:dyDescent="0.3">
      <c r="A9" t="s">
        <v>25</v>
      </c>
      <c r="C9" s="4">
        <f>+C8*C7</f>
        <v>363384.00000000006</v>
      </c>
      <c r="D9" s="4">
        <f>+D8*D7</f>
        <v>392999.79600000003</v>
      </c>
      <c r="E9" s="4">
        <f t="shared" ref="E9:J9" si="2">+E8*E7</f>
        <v>425029.27937400009</v>
      </c>
      <c r="F9" s="4">
        <f t="shared" si="2"/>
        <v>459669.16564298107</v>
      </c>
      <c r="G9" s="4">
        <f t="shared" si="2"/>
        <v>497132.20264288405</v>
      </c>
      <c r="H9" s="4">
        <f t="shared" si="2"/>
        <v>537648.47715827927</v>
      </c>
      <c r="I9" s="4">
        <f t="shared" si="2"/>
        <v>581466.82804667903</v>
      </c>
      <c r="J9" s="4">
        <f t="shared" si="2"/>
        <v>628856.3745324834</v>
      </c>
    </row>
    <row r="10" spans="1:10" x14ac:dyDescent="0.3">
      <c r="A10" s="15" t="s">
        <v>26</v>
      </c>
      <c r="B10" s="15"/>
      <c r="C10" s="16">
        <f>+C6-C9</f>
        <v>968251.65132223349</v>
      </c>
      <c r="D10" s="16">
        <f t="shared" ref="D10:J10" si="3">+D6-D9</f>
        <v>1143175.0913653283</v>
      </c>
      <c r="E10" s="16">
        <f t="shared" si="3"/>
        <v>1347102.070690643</v>
      </c>
      <c r="F10" s="16">
        <f t="shared" si="3"/>
        <v>1584661.5597915915</v>
      </c>
      <c r="G10" s="16">
        <f t="shared" si="3"/>
        <v>1861207.722218439</v>
      </c>
      <c r="H10" s="16">
        <f t="shared" si="3"/>
        <v>2182932.4601617442</v>
      </c>
      <c r="I10" s="16">
        <f t="shared" si="3"/>
        <v>2556995.3412456997</v>
      </c>
      <c r="J10" s="16">
        <f t="shared" si="3"/>
        <v>2991673.5839632056</v>
      </c>
    </row>
    <row r="11" spans="1:10" x14ac:dyDescent="0.3">
      <c r="A11" t="s">
        <v>28</v>
      </c>
      <c r="C11" s="4">
        <f>+C10*(1-Assumptions!$B$18)</f>
        <v>629363.57335945184</v>
      </c>
      <c r="D11" s="4">
        <f>+D10*(1-Assumptions!$B$18)</f>
        <v>743063.80938746338</v>
      </c>
      <c r="E11" s="4">
        <f>+E10*(1-Assumptions!$B$18)</f>
        <v>875616.34594891802</v>
      </c>
      <c r="F11" s="4">
        <f>+F10*(1-Assumptions!$B$18)</f>
        <v>1030030.0138645346</v>
      </c>
      <c r="G11" s="4">
        <f>+G10*(1-Assumptions!$B$18)</f>
        <v>1209785.0194419853</v>
      </c>
      <c r="H11" s="4">
        <f>+H10*(1-Assumptions!$B$18)</f>
        <v>1418906.0991051337</v>
      </c>
      <c r="I11" s="4">
        <f>+I10*(1-Assumptions!$B$18)</f>
        <v>1662046.9718097048</v>
      </c>
      <c r="J11" s="4">
        <f>+J10*(1-Assumptions!$B$18)</f>
        <v>1944587.8295760837</v>
      </c>
    </row>
    <row r="12" spans="1:10" x14ac:dyDescent="0.3">
      <c r="A12" t="s">
        <v>27</v>
      </c>
      <c r="B12" s="1">
        <f>+Assumptions!B14</f>
        <v>0.12</v>
      </c>
    </row>
    <row r="13" spans="1:10" x14ac:dyDescent="0.3">
      <c r="A13" t="s">
        <v>29</v>
      </c>
      <c r="B13" s="19">
        <f>NPV(B12,C11:J11)</f>
        <v>5374685.3469831562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2:F11"/>
  <sheetViews>
    <sheetView workbookViewId="0">
      <selection activeCell="F11" sqref="F11"/>
    </sheetView>
  </sheetViews>
  <sheetFormatPr defaultRowHeight="15.6" x14ac:dyDescent="0.3"/>
  <cols>
    <col min="3" max="3" width="18.8984375" bestFit="1" customWidth="1"/>
    <col min="5" max="5" width="11.09765625" bestFit="1" customWidth="1"/>
    <col min="6" max="6" width="13.09765625" bestFit="1" customWidth="1"/>
  </cols>
  <sheetData>
    <row r="2" spans="2:6" x14ac:dyDescent="0.3">
      <c r="B2" s="20" t="s">
        <v>30</v>
      </c>
      <c r="C2" s="20" t="s">
        <v>31</v>
      </c>
      <c r="D2" t="s">
        <v>0</v>
      </c>
      <c r="E2" t="s">
        <v>32</v>
      </c>
      <c r="F2" t="s">
        <v>33</v>
      </c>
    </row>
    <row r="3" spans="2:6" x14ac:dyDescent="0.3">
      <c r="B3" s="20">
        <v>1</v>
      </c>
      <c r="C3" s="21">
        <f>+Assumptions!$B$11</f>
        <v>687500</v>
      </c>
      <c r="D3" s="5">
        <f>+Assumptions!$B$2*(1+Assumptions!$B$3)^'Depreciation Tax Shield'!B3/(1+Assumptions!$B$4)^1</f>
        <v>1.3316356513222334</v>
      </c>
      <c r="E3" s="4">
        <f>+C3*D3</f>
        <v>915499.51028403547</v>
      </c>
      <c r="F3" s="4">
        <f>+E3*Assumptions!$B$18</f>
        <v>320424.8285994124</v>
      </c>
    </row>
    <row r="4" spans="2:6" x14ac:dyDescent="0.3">
      <c r="B4" s="20">
        <f>+B3+1</f>
        <v>2</v>
      </c>
      <c r="C4" s="21">
        <f>+Assumptions!$B$11</f>
        <v>687500</v>
      </c>
      <c r="D4" s="5">
        <f>+Assumptions!$B$2*(1+Assumptions!$B$3)^'Depreciation Tax Shield'!B4/(1+Assumptions!$B$4)^B4</f>
        <v>1.3433738696002941</v>
      </c>
      <c r="E4" s="4">
        <f t="shared" ref="E4:E10" si="0">+C4*D4</f>
        <v>923569.53535020223</v>
      </c>
      <c r="F4" s="4">
        <f>+E4*Assumptions!$B$18</f>
        <v>323249.33737257076</v>
      </c>
    </row>
    <row r="5" spans="2:6" x14ac:dyDescent="0.3">
      <c r="B5" s="20">
        <f t="shared" ref="B5:B10" si="1">+B4+1</f>
        <v>3</v>
      </c>
      <c r="C5" s="21">
        <f>+Assumptions!$B$11</f>
        <v>687500</v>
      </c>
      <c r="D5" s="5">
        <f>+Assumptions!$B$2*(1+Assumptions!$B$3)^'Depreciation Tax Shield'!B5/(1+Assumptions!$B$4)^B5</f>
        <v>1.3552155589503461</v>
      </c>
      <c r="E5" s="4">
        <f t="shared" si="0"/>
        <v>931710.69677836297</v>
      </c>
      <c r="F5" s="4">
        <f>+E5*Assumptions!$B$18</f>
        <v>326098.74387242703</v>
      </c>
    </row>
    <row r="6" spans="2:6" x14ac:dyDescent="0.3">
      <c r="B6" s="20">
        <f t="shared" si="1"/>
        <v>4</v>
      </c>
      <c r="C6" s="21">
        <f>+Assumptions!$B$11</f>
        <v>687500</v>
      </c>
      <c r="D6" s="5">
        <f>+Assumptions!$B$2*(1+Assumptions!$B$3)^'Depreciation Tax Shield'!B6/(1+Assumptions!$B$4)^B6</f>
        <v>1.3671616314582338</v>
      </c>
      <c r="E6" s="4">
        <f t="shared" si="0"/>
        <v>939923.62162753567</v>
      </c>
      <c r="F6" s="4">
        <f>+E6*Assumptions!$B$18</f>
        <v>328973.26756963745</v>
      </c>
    </row>
    <row r="7" spans="2:6" x14ac:dyDescent="0.3">
      <c r="B7" s="20">
        <f t="shared" si="1"/>
        <v>5</v>
      </c>
      <c r="C7" s="21">
        <f>+Assumptions!$B$11</f>
        <v>687500</v>
      </c>
      <c r="D7" s="5">
        <f>+Assumptions!$B$2*(1+Assumptions!$B$3)^'Depreciation Tax Shield'!B7/(1+Assumptions!$B$4)^B7</f>
        <v>1.3792130072497362</v>
      </c>
      <c r="E7" s="4">
        <f t="shared" si="0"/>
        <v>948208.9424841936</v>
      </c>
      <c r="F7" s="4">
        <f>+E7*Assumptions!$B$18</f>
        <v>331873.12986946775</v>
      </c>
    </row>
    <row r="8" spans="2:6" x14ac:dyDescent="0.3">
      <c r="B8" s="20">
        <f t="shared" si="1"/>
        <v>6</v>
      </c>
      <c r="C8" s="21">
        <f>+Assumptions!$B$11</f>
        <v>687500</v>
      </c>
      <c r="D8" s="5">
        <f>+Assumptions!$B$2*(1+Assumptions!$B$3)^'Depreciation Tax Shield'!B8/(1+Assumptions!$B$4)^B8</f>
        <v>1.3913706145614384</v>
      </c>
      <c r="E8" s="4">
        <f t="shared" si="0"/>
        <v>956567.29751098889</v>
      </c>
      <c r="F8" s="4">
        <f>+E8*Assumptions!$B$18</f>
        <v>334798.5541288461</v>
      </c>
    </row>
    <row r="9" spans="2:6" x14ac:dyDescent="0.3">
      <c r="B9" s="20">
        <f t="shared" si="1"/>
        <v>7</v>
      </c>
      <c r="C9" s="21">
        <f>+Assumptions!$B$11</f>
        <v>687500</v>
      </c>
      <c r="D9" s="5">
        <f>+Assumptions!$B$2*(1+Assumptions!$B$3)^'Depreciation Tax Shield'!B9/(1+Assumptions!$B$4)^B9</f>
        <v>1.4036353898122249</v>
      </c>
      <c r="E9" s="4">
        <f t="shared" si="0"/>
        <v>964999.33049590467</v>
      </c>
      <c r="F9" s="4">
        <f>+E9*Assumptions!$B$18</f>
        <v>337749.76567356661</v>
      </c>
    </row>
    <row r="10" spans="2:6" x14ac:dyDescent="0.3">
      <c r="B10" s="20">
        <f t="shared" si="1"/>
        <v>8</v>
      </c>
      <c r="C10" s="21">
        <f>+Assumptions!$B$11</f>
        <v>687500</v>
      </c>
      <c r="D10" s="5">
        <f>+Assumptions!$B$2*(1+Assumptions!$B$3)^'Depreciation Tax Shield'!B10/(1+Assumptions!$B$4)^B10</f>
        <v>1.4160082776754084</v>
      </c>
      <c r="E10" s="4">
        <f t="shared" si="0"/>
        <v>973505.69090184325</v>
      </c>
      <c r="F10" s="4">
        <f>+E10*Assumptions!$B$18</f>
        <v>340726.99181564513</v>
      </c>
    </row>
    <row r="11" spans="2:6" x14ac:dyDescent="0.3">
      <c r="B11" s="9" t="s">
        <v>63</v>
      </c>
      <c r="C11" s="9"/>
      <c r="D11" s="9"/>
      <c r="E11" s="9"/>
      <c r="F11" s="40">
        <f>NPV(8%,'Depreciation Tax Shield'!F3:F10)</f>
        <v>1892501.8224877426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H15"/>
  <sheetViews>
    <sheetView workbookViewId="0">
      <selection activeCell="H15" sqref="H15"/>
    </sheetView>
  </sheetViews>
  <sheetFormatPr defaultRowHeight="15.6" x14ac:dyDescent="0.3"/>
  <cols>
    <col min="2" max="2" width="10.19921875" customWidth="1"/>
    <col min="3" max="3" width="10.09765625" customWidth="1"/>
    <col min="4" max="4" width="22.09765625" bestFit="1" customWidth="1"/>
    <col min="5" max="5" width="19" bestFit="1" customWidth="1"/>
    <col min="6" max="6" width="21.5" bestFit="1" customWidth="1"/>
    <col min="7" max="7" width="21.5" customWidth="1"/>
    <col min="8" max="8" width="15.69921875" bestFit="1" customWidth="1"/>
  </cols>
  <sheetData>
    <row r="1" spans="2:8" x14ac:dyDescent="0.3">
      <c r="B1" t="s">
        <v>38</v>
      </c>
      <c r="C1" s="4">
        <v>4000000</v>
      </c>
    </row>
    <row r="3" spans="2:8" x14ac:dyDescent="0.3">
      <c r="B3" s="31"/>
      <c r="C3" s="31"/>
      <c r="D3" s="31"/>
      <c r="E3" s="31"/>
      <c r="F3" s="31"/>
      <c r="G3" s="31"/>
      <c r="H3" s="31"/>
    </row>
    <row r="4" spans="2:8" x14ac:dyDescent="0.3">
      <c r="B4" s="24" t="s">
        <v>30</v>
      </c>
      <c r="C4" s="24" t="s">
        <v>0</v>
      </c>
      <c r="D4" s="25" t="s">
        <v>41</v>
      </c>
      <c r="E4" s="25" t="s">
        <v>40</v>
      </c>
      <c r="F4" s="25" t="s">
        <v>39</v>
      </c>
      <c r="G4" s="25" t="s">
        <v>64</v>
      </c>
      <c r="H4" s="25" t="s">
        <v>34</v>
      </c>
    </row>
    <row r="5" spans="2:8" x14ac:dyDescent="0.3">
      <c r="B5" s="20">
        <v>1</v>
      </c>
      <c r="C5" s="23">
        <f>+Assumptions!$B$2*(1+Assumptions!$B$3)^'Depreciation Tax Shield'!B3/(1+Assumptions!$B$4)^1</f>
        <v>1.3316356513222334</v>
      </c>
      <c r="D5" s="4">
        <f>+$C$1/8</f>
        <v>500000</v>
      </c>
      <c r="E5" s="4">
        <f>+C1-D5</f>
        <v>3500000</v>
      </c>
      <c r="F5" s="4">
        <f>+C1*Assumptions!$B$22</f>
        <v>200000</v>
      </c>
      <c r="G5" s="4">
        <f>+D5+F5</f>
        <v>700000</v>
      </c>
      <c r="H5" s="8">
        <f>+(D5+F5)*C5</f>
        <v>932144.95592556335</v>
      </c>
    </row>
    <row r="6" spans="2:8" x14ac:dyDescent="0.3">
      <c r="B6" s="20">
        <f>+B5+1</f>
        <v>2</v>
      </c>
      <c r="C6" s="23">
        <f>+Assumptions!$B$2*(1+Assumptions!$B$3)^'Depreciation Tax Shield'!B4/(1+Assumptions!$B$4)^B6</f>
        <v>1.3433738696002941</v>
      </c>
      <c r="D6" s="4">
        <f t="shared" ref="D6:D12" si="0">+$C$1/8</f>
        <v>500000</v>
      </c>
      <c r="E6" s="4">
        <f>+E5-D6</f>
        <v>3000000</v>
      </c>
      <c r="F6" s="4">
        <f>+E5*Assumptions!$B$22</f>
        <v>175000</v>
      </c>
      <c r="G6" s="4">
        <f t="shared" ref="G6:G12" si="1">+D6+F6</f>
        <v>675000</v>
      </c>
      <c r="H6" s="8">
        <f t="shared" ref="H6:H12" si="2">+(D6+F6)*C6</f>
        <v>906777.36198019853</v>
      </c>
    </row>
    <row r="7" spans="2:8" x14ac:dyDescent="0.3">
      <c r="B7" s="20">
        <f t="shared" ref="B7:B12" si="3">+B6+1</f>
        <v>3</v>
      </c>
      <c r="C7" s="23">
        <f>+Assumptions!$B$2*(1+Assumptions!$B$3)^'Depreciation Tax Shield'!B5/(1+Assumptions!$B$4)^B7</f>
        <v>1.3552155589503461</v>
      </c>
      <c r="D7" s="4">
        <f t="shared" si="0"/>
        <v>500000</v>
      </c>
      <c r="E7" s="4">
        <f t="shared" ref="E7:E12" si="4">+E6-D7</f>
        <v>2500000</v>
      </c>
      <c r="F7" s="4">
        <f>+E6*Assumptions!$B$22</f>
        <v>150000</v>
      </c>
      <c r="G7" s="4">
        <f t="shared" si="1"/>
        <v>650000</v>
      </c>
      <c r="H7" s="8">
        <f t="shared" si="2"/>
        <v>880890.1133177249</v>
      </c>
    </row>
    <row r="8" spans="2:8" x14ac:dyDescent="0.3">
      <c r="B8" s="20">
        <f t="shared" si="3"/>
        <v>4</v>
      </c>
      <c r="C8" s="23">
        <f>+Assumptions!$B$2*(1+Assumptions!$B$3)^'Depreciation Tax Shield'!B6/(1+Assumptions!$B$4)^B8</f>
        <v>1.3671616314582338</v>
      </c>
      <c r="D8" s="4">
        <f t="shared" si="0"/>
        <v>500000</v>
      </c>
      <c r="E8" s="4">
        <f t="shared" si="4"/>
        <v>2000000</v>
      </c>
      <c r="F8" s="4">
        <f>+E7*Assumptions!$B$22</f>
        <v>125000</v>
      </c>
      <c r="G8" s="4">
        <f t="shared" si="1"/>
        <v>625000</v>
      </c>
      <c r="H8" s="8">
        <f t="shared" si="2"/>
        <v>854476.01966139616</v>
      </c>
    </row>
    <row r="9" spans="2:8" x14ac:dyDescent="0.3">
      <c r="B9" s="20">
        <f t="shared" si="3"/>
        <v>5</v>
      </c>
      <c r="C9" s="23">
        <f>+Assumptions!$B$2*(1+Assumptions!$B$3)^'Depreciation Tax Shield'!B7/(1+Assumptions!$B$4)^B9</f>
        <v>1.3792130072497362</v>
      </c>
      <c r="D9" s="4">
        <f t="shared" si="0"/>
        <v>500000</v>
      </c>
      <c r="E9" s="4">
        <f t="shared" si="4"/>
        <v>1500000</v>
      </c>
      <c r="F9" s="4">
        <f>+E8*Assumptions!$B$22</f>
        <v>100000</v>
      </c>
      <c r="G9" s="4">
        <f t="shared" si="1"/>
        <v>600000</v>
      </c>
      <c r="H9" s="8">
        <f t="shared" si="2"/>
        <v>827527.80434984167</v>
      </c>
    </row>
    <row r="10" spans="2:8" x14ac:dyDescent="0.3">
      <c r="B10" s="20">
        <f t="shared" si="3"/>
        <v>6</v>
      </c>
      <c r="C10" s="23">
        <f>+Assumptions!$B$2*(1+Assumptions!$B$3)^'Depreciation Tax Shield'!B8/(1+Assumptions!$B$4)^B10</f>
        <v>1.3913706145614384</v>
      </c>
      <c r="D10" s="4">
        <f t="shared" si="0"/>
        <v>500000</v>
      </c>
      <c r="E10" s="4">
        <f t="shared" si="4"/>
        <v>1000000</v>
      </c>
      <c r="F10" s="4">
        <f>+E9*Assumptions!$B$22</f>
        <v>75000</v>
      </c>
      <c r="G10" s="4">
        <f t="shared" si="1"/>
        <v>575000</v>
      </c>
      <c r="H10" s="8">
        <f t="shared" si="2"/>
        <v>800038.10337282706</v>
      </c>
    </row>
    <row r="11" spans="2:8" x14ac:dyDescent="0.3">
      <c r="B11" s="20">
        <f t="shared" si="3"/>
        <v>7</v>
      </c>
      <c r="C11" s="23">
        <f>+Assumptions!$B$2*(1+Assumptions!$B$3)^'Depreciation Tax Shield'!B9/(1+Assumptions!$B$4)^B11</f>
        <v>1.4036353898122249</v>
      </c>
      <c r="D11" s="4">
        <f t="shared" si="0"/>
        <v>500000</v>
      </c>
      <c r="E11" s="4">
        <f t="shared" si="4"/>
        <v>500000</v>
      </c>
      <c r="F11" s="4">
        <f>+E10*Assumptions!$B$22</f>
        <v>50000</v>
      </c>
      <c r="G11" s="4">
        <f t="shared" si="1"/>
        <v>550000</v>
      </c>
      <c r="H11" s="8">
        <f t="shared" si="2"/>
        <v>771999.46439672366</v>
      </c>
    </row>
    <row r="12" spans="2:8" x14ac:dyDescent="0.3">
      <c r="B12" s="27">
        <f t="shared" si="3"/>
        <v>8</v>
      </c>
      <c r="C12" s="28">
        <f>+Assumptions!$B$2*(1+Assumptions!$B$3)^'Depreciation Tax Shield'!B10/(1+Assumptions!$B$4)^B12</f>
        <v>1.4160082776754084</v>
      </c>
      <c r="D12" s="29">
        <f t="shared" si="0"/>
        <v>500000</v>
      </c>
      <c r="E12" s="29">
        <f t="shared" si="4"/>
        <v>0</v>
      </c>
      <c r="F12" s="4">
        <f>+E11*Assumptions!$B$22</f>
        <v>25000</v>
      </c>
      <c r="G12" s="4">
        <f t="shared" si="1"/>
        <v>525000</v>
      </c>
      <c r="H12" s="30">
        <f t="shared" si="2"/>
        <v>743404.34577958938</v>
      </c>
    </row>
    <row r="13" spans="2:8" x14ac:dyDescent="0.3">
      <c r="B13" t="s">
        <v>35</v>
      </c>
      <c r="F13" s="19"/>
      <c r="G13" s="19"/>
      <c r="H13" s="22">
        <f>NPV(Assumptions!B21,H5:H12)</f>
        <v>4887310.7119710781</v>
      </c>
    </row>
    <row r="14" spans="2:8" x14ac:dyDescent="0.3">
      <c r="B14" t="s">
        <v>36</v>
      </c>
      <c r="H14" s="22">
        <f>+C1*Assumptions!B2</f>
        <v>5280000</v>
      </c>
    </row>
    <row r="15" spans="2:8" x14ac:dyDescent="0.3">
      <c r="B15" t="s">
        <v>37</v>
      </c>
      <c r="H15" s="26">
        <f>+H14-H13</f>
        <v>392689.28802892193</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sheetPr>
  <dimension ref="B1:J16"/>
  <sheetViews>
    <sheetView workbookViewId="0">
      <selection activeCell="F5" sqref="F5"/>
    </sheetView>
  </sheetViews>
  <sheetFormatPr defaultRowHeight="15.6" x14ac:dyDescent="0.3"/>
  <cols>
    <col min="2" max="2" width="5.09765625" customWidth="1"/>
    <col min="3" max="3" width="8.5" customWidth="1"/>
    <col min="4" max="4" width="20.09765625" bestFit="1" customWidth="1"/>
    <col min="5" max="5" width="18.69921875" bestFit="1" customWidth="1"/>
    <col min="6" max="6" width="23.09765625" bestFit="1" customWidth="1"/>
    <col min="7" max="7" width="19.8984375" bestFit="1" customWidth="1"/>
    <col min="9" max="9" width="14.69921875" bestFit="1" customWidth="1"/>
    <col min="10" max="10" width="12.59765625" bestFit="1" customWidth="1"/>
  </cols>
  <sheetData>
    <row r="1" spans="2:10" x14ac:dyDescent="0.3">
      <c r="B1" t="s">
        <v>38</v>
      </c>
      <c r="C1" s="4">
        <v>4000000</v>
      </c>
      <c r="I1" s="6" t="s">
        <v>46</v>
      </c>
      <c r="J1" s="4">
        <v>4000000</v>
      </c>
    </row>
    <row r="3" spans="2:10" x14ac:dyDescent="0.3">
      <c r="B3" s="31"/>
      <c r="C3" s="31"/>
      <c r="D3" s="31"/>
      <c r="E3" s="31"/>
      <c r="F3" s="31"/>
      <c r="G3" s="31"/>
    </row>
    <row r="4" spans="2:10" x14ac:dyDescent="0.3">
      <c r="B4" s="24" t="s">
        <v>30</v>
      </c>
      <c r="C4" s="24" t="s">
        <v>0</v>
      </c>
      <c r="D4" s="25" t="s">
        <v>42</v>
      </c>
      <c r="E4" s="32" t="s">
        <v>43</v>
      </c>
      <c r="F4" s="25" t="s">
        <v>44</v>
      </c>
      <c r="G4" s="25" t="s">
        <v>45</v>
      </c>
    </row>
    <row r="5" spans="2:10" x14ac:dyDescent="0.3">
      <c r="B5" s="20">
        <v>1</v>
      </c>
      <c r="C5" s="23">
        <f>+Assumptions!$B$2*(1+Assumptions!$B$3)^'Depreciation Tax Shield'!B3/(1+Assumptions!$B$4)^1</f>
        <v>1.3316356513222334</v>
      </c>
      <c r="D5" s="4">
        <f>+'Value of Concessionary Loans'!F5</f>
        <v>200000</v>
      </c>
      <c r="E5" s="33">
        <v>0.55000000000000004</v>
      </c>
      <c r="F5" s="4">
        <f>+D5*E5*Assumptions!$B$18</f>
        <v>38500</v>
      </c>
      <c r="G5" s="8">
        <f>+F5*C5</f>
        <v>51267.972575905987</v>
      </c>
    </row>
    <row r="6" spans="2:10" x14ac:dyDescent="0.3">
      <c r="B6" s="20">
        <f>+B5+1</f>
        <v>2</v>
      </c>
      <c r="C6" s="23">
        <f>+Assumptions!$B$2*(1+Assumptions!$B$3)^'Depreciation Tax Shield'!B4/(1+Assumptions!$B$4)^B6</f>
        <v>1.3433738696002941</v>
      </c>
      <c r="D6" s="4">
        <f>+'Value of Concessionary Loans'!F6</f>
        <v>175000</v>
      </c>
      <c r="E6" s="34">
        <v>0.55000000000000004</v>
      </c>
      <c r="F6" s="4">
        <f>+D6*E6*Assumptions!$B$18</f>
        <v>33687.5</v>
      </c>
      <c r="G6" s="8">
        <f t="shared" ref="G6:G12" si="0">+F6*C6</f>
        <v>45254.907232159909</v>
      </c>
    </row>
    <row r="7" spans="2:10" x14ac:dyDescent="0.3">
      <c r="B7" s="20">
        <f t="shared" ref="B7:B12" si="1">+B6+1</f>
        <v>3</v>
      </c>
      <c r="C7" s="23">
        <f>+Assumptions!$B$2*(1+Assumptions!$B$3)^'Depreciation Tax Shield'!B5/(1+Assumptions!$B$4)^B7</f>
        <v>1.3552155589503461</v>
      </c>
      <c r="D7" s="4">
        <f>+'Value of Concessionary Loans'!F7</f>
        <v>150000</v>
      </c>
      <c r="E7" s="34">
        <v>0.55000000000000004</v>
      </c>
      <c r="F7" s="4">
        <f>+D7*E7*Assumptions!$B$18</f>
        <v>28874.999999999996</v>
      </c>
      <c r="G7" s="8">
        <f t="shared" si="0"/>
        <v>39131.849264691235</v>
      </c>
    </row>
    <row r="8" spans="2:10" x14ac:dyDescent="0.3">
      <c r="B8" s="20">
        <f t="shared" si="1"/>
        <v>4</v>
      </c>
      <c r="C8" s="23">
        <f>+Assumptions!$B$2*(1+Assumptions!$B$3)^'Depreciation Tax Shield'!B6/(1+Assumptions!$B$4)^B8</f>
        <v>1.3671616314582338</v>
      </c>
      <c r="D8" s="4">
        <f>+'Value of Concessionary Loans'!F8</f>
        <v>125000</v>
      </c>
      <c r="E8" s="34">
        <v>0.55000000000000004</v>
      </c>
      <c r="F8" s="4">
        <f>+D8*E8*Assumptions!$B$18</f>
        <v>24062.5</v>
      </c>
      <c r="G8" s="8">
        <f t="shared" si="0"/>
        <v>32897.326756963754</v>
      </c>
    </row>
    <row r="9" spans="2:10" x14ac:dyDescent="0.3">
      <c r="B9" s="20">
        <f t="shared" si="1"/>
        <v>5</v>
      </c>
      <c r="C9" s="23">
        <f>+Assumptions!$B$2*(1+Assumptions!$B$3)^'Depreciation Tax Shield'!B7/(1+Assumptions!$B$4)^B9</f>
        <v>1.3792130072497362</v>
      </c>
      <c r="D9" s="4">
        <f>+'Value of Concessionary Loans'!F9</f>
        <v>100000</v>
      </c>
      <c r="E9" s="34">
        <v>0.55000000000000004</v>
      </c>
      <c r="F9" s="4">
        <f>+D9*E9*Assumptions!$B$18</f>
        <v>19250</v>
      </c>
      <c r="G9" s="8">
        <f t="shared" si="0"/>
        <v>26549.850389557421</v>
      </c>
    </row>
    <row r="10" spans="2:10" x14ac:dyDescent="0.3">
      <c r="B10" s="20">
        <f t="shared" si="1"/>
        <v>6</v>
      </c>
      <c r="C10" s="23">
        <f>+Assumptions!$B$2*(1+Assumptions!$B$3)^'Depreciation Tax Shield'!B8/(1+Assumptions!$B$4)^B10</f>
        <v>1.3913706145614384</v>
      </c>
      <c r="D10" s="4">
        <f>+'Value of Concessionary Loans'!F10</f>
        <v>75000</v>
      </c>
      <c r="E10" s="34">
        <v>0.55000000000000004</v>
      </c>
      <c r="F10" s="4">
        <f>+D10*E10*Assumptions!$B$18</f>
        <v>14437.499999999998</v>
      </c>
      <c r="G10" s="8">
        <f t="shared" si="0"/>
        <v>20087.913247730765</v>
      </c>
    </row>
    <row r="11" spans="2:10" x14ac:dyDescent="0.3">
      <c r="B11" s="20">
        <f t="shared" si="1"/>
        <v>7</v>
      </c>
      <c r="C11" s="23">
        <f>+Assumptions!$B$2*(1+Assumptions!$B$3)^'Depreciation Tax Shield'!B9/(1+Assumptions!$B$4)^B11</f>
        <v>1.4036353898122249</v>
      </c>
      <c r="D11" s="4">
        <f>+'Value of Concessionary Loans'!F11</f>
        <v>50000</v>
      </c>
      <c r="E11" s="34">
        <v>0.55000000000000004</v>
      </c>
      <c r="F11" s="4">
        <f>+D11*E11*Assumptions!$B$18</f>
        <v>9625</v>
      </c>
      <c r="G11" s="8">
        <f t="shared" si="0"/>
        <v>13509.990626942665</v>
      </c>
    </row>
    <row r="12" spans="2:10" x14ac:dyDescent="0.3">
      <c r="B12" s="27">
        <f t="shared" si="1"/>
        <v>8</v>
      </c>
      <c r="C12" s="28">
        <f>+Assumptions!$B$2*(1+Assumptions!$B$3)^'Depreciation Tax Shield'!B10/(1+Assumptions!$B$4)^B12</f>
        <v>1.4160082776754084</v>
      </c>
      <c r="D12" s="4">
        <f>+'Value of Concessionary Loans'!F12</f>
        <v>25000</v>
      </c>
      <c r="E12" s="34">
        <v>0.55000000000000004</v>
      </c>
      <c r="F12" s="4">
        <f>+D12*E12*Assumptions!$B$18</f>
        <v>4812.5</v>
      </c>
      <c r="G12" s="8">
        <f t="shared" si="0"/>
        <v>6814.5398363129025</v>
      </c>
    </row>
    <row r="13" spans="2:10" x14ac:dyDescent="0.3">
      <c r="B13" s="12" t="s">
        <v>47</v>
      </c>
      <c r="C13" s="12"/>
      <c r="D13" s="12"/>
      <c r="E13" s="12"/>
      <c r="F13" s="35"/>
      <c r="G13" s="36">
        <f>NPV(8%,G5:G12)</f>
        <v>183806.58305933559</v>
      </c>
    </row>
    <row r="14" spans="2:10" x14ac:dyDescent="0.3">
      <c r="G14" s="22"/>
      <c r="I14" s="4"/>
    </row>
    <row r="15" spans="2:10" x14ac:dyDescent="0.3">
      <c r="F15">
        <f>+D5*0.35</f>
        <v>70000</v>
      </c>
      <c r="G15" s="26"/>
    </row>
    <row r="16" spans="2:10" x14ac:dyDescent="0.3">
      <c r="F16" s="38">
        <f>+F15*E5</f>
        <v>38500</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B2:E6"/>
  <sheetViews>
    <sheetView workbookViewId="0">
      <selection activeCell="E4" sqref="E4"/>
    </sheetView>
  </sheetViews>
  <sheetFormatPr defaultRowHeight="15.6" x14ac:dyDescent="0.3"/>
  <cols>
    <col min="2" max="2" width="21" bestFit="1" customWidth="1"/>
    <col min="3" max="3" width="11.296875" bestFit="1" customWidth="1"/>
    <col min="5" max="5" width="11.296875" bestFit="1" customWidth="1"/>
  </cols>
  <sheetData>
    <row r="2" spans="2:5" x14ac:dyDescent="0.3">
      <c r="B2" t="s">
        <v>52</v>
      </c>
      <c r="C2" s="4">
        <f>+Assumptions!B20</f>
        <v>750000</v>
      </c>
    </row>
    <row r="3" spans="2:5" x14ac:dyDescent="0.3">
      <c r="B3" t="s">
        <v>55</v>
      </c>
      <c r="C3" s="4">
        <f>+C2/(1-0.2)</f>
        <v>937500</v>
      </c>
    </row>
    <row r="4" spans="2:5" x14ac:dyDescent="0.3">
      <c r="B4" t="s">
        <v>53</v>
      </c>
      <c r="C4" s="4">
        <f>+C3*1.32</f>
        <v>1237500</v>
      </c>
      <c r="E4" s="3">
        <f>+C4*0.35</f>
        <v>433125</v>
      </c>
    </row>
    <row r="5" spans="2:5" x14ac:dyDescent="0.3">
      <c r="B5" t="s">
        <v>54</v>
      </c>
      <c r="C5" s="3">
        <f>+C4*(Assumptions!B18-Assumptions!B17)</f>
        <v>185624.99999999997</v>
      </c>
      <c r="E5" s="3">
        <f>+C4*0.2</f>
        <v>247500</v>
      </c>
    </row>
    <row r="6" spans="2:5" x14ac:dyDescent="0.3">
      <c r="B6" t="s">
        <v>56</v>
      </c>
      <c r="E6" s="41">
        <f>+E4-E5</f>
        <v>185625</v>
      </c>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C00000"/>
  </sheetPr>
  <dimension ref="D23:E29"/>
  <sheetViews>
    <sheetView tabSelected="1" topLeftCell="A20" workbookViewId="0">
      <selection activeCell="E29" sqref="E29"/>
    </sheetView>
  </sheetViews>
  <sheetFormatPr defaultRowHeight="15.6" x14ac:dyDescent="0.3"/>
  <cols>
    <col min="4" max="4" width="21.69921875" bestFit="1" customWidth="1"/>
    <col min="5" max="5" width="13.3984375" bestFit="1" customWidth="1"/>
  </cols>
  <sheetData>
    <row r="23" spans="4:5" x14ac:dyDescent="0.3">
      <c r="D23" t="s">
        <v>48</v>
      </c>
      <c r="E23" s="19">
        <f>+IOCF!B13</f>
        <v>5374685.3469831562</v>
      </c>
    </row>
    <row r="24" spans="4:5" x14ac:dyDescent="0.3">
      <c r="D24" s="37" t="s">
        <v>49</v>
      </c>
      <c r="E24" s="19">
        <f>+'Depreciation Tax Shield'!F11</f>
        <v>1892501.8224877426</v>
      </c>
    </row>
    <row r="25" spans="4:5" x14ac:dyDescent="0.3">
      <c r="D25" s="37" t="s">
        <v>50</v>
      </c>
      <c r="E25" s="22">
        <f>+'PV of ITS'!G13</f>
        <v>183806.58305933559</v>
      </c>
    </row>
    <row r="26" spans="4:5" x14ac:dyDescent="0.3">
      <c r="D26" s="37" t="s">
        <v>51</v>
      </c>
      <c r="E26" s="22">
        <f>+'Value of Concessionary Loans'!H15</f>
        <v>392689.28802892193</v>
      </c>
    </row>
    <row r="27" spans="4:5" x14ac:dyDescent="0.3">
      <c r="D27" t="s">
        <v>57</v>
      </c>
      <c r="E27" s="38">
        <f>+'Restricted Funds'!C5</f>
        <v>185624.99999999997</v>
      </c>
    </row>
    <row r="28" spans="4:5" x14ac:dyDescent="0.3">
      <c r="D28" t="s">
        <v>58</v>
      </c>
      <c r="E28" s="4">
        <f>Assumptions!B10</f>
        <v>-7260000</v>
      </c>
    </row>
    <row r="29" spans="4:5" x14ac:dyDescent="0.3">
      <c r="D29" s="9" t="s">
        <v>59</v>
      </c>
      <c r="E29" s="39">
        <f>SUM(E23:E28)</f>
        <v>769308.04055915587</v>
      </c>
    </row>
  </sheetData>
  <pageMargins left="0.7" right="0.7" top="0.75" bottom="0.75" header="0.3" footer="0.3"/>
  <drawing r:id="rId1"/>
  <legacyDrawing r:id="rId2"/>
  <oleObjects>
    <mc:AlternateContent xmlns:mc="http://schemas.openxmlformats.org/markup-compatibility/2006">
      <mc:Choice Requires="x14">
        <oleObject progId="Equation.DSMT4" shapeId="6145" r:id="rId3">
          <objectPr defaultSize="0" r:id="rId4">
            <anchor moveWithCells="1">
              <from>
                <xdr:col>2</xdr:col>
                <xdr:colOff>381000</xdr:colOff>
                <xdr:row>7</xdr:row>
                <xdr:rowOff>99060</xdr:rowOff>
              </from>
              <to>
                <xdr:col>11</xdr:col>
                <xdr:colOff>182880</xdr:colOff>
                <xdr:row>9</xdr:row>
                <xdr:rowOff>182880</xdr:rowOff>
              </to>
            </anchor>
          </objectPr>
        </oleObject>
      </mc:Choice>
      <mc:Fallback>
        <oleObject progId="Equation.DSMT4" shapeId="6145" r:id="rId3"/>
      </mc:Fallback>
    </mc:AlternateContent>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Assumptions</vt:lpstr>
      <vt:lpstr>IOCF</vt:lpstr>
      <vt:lpstr>Depreciation Tax Shield</vt:lpstr>
      <vt:lpstr>Value of Concessionary Loans</vt:lpstr>
      <vt:lpstr>PV of ITS</vt:lpstr>
      <vt:lpstr>Restricted Funds</vt:lpstr>
      <vt:lpstr>APV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Aybar, Bulent</dc:creator>
  <cp:lastModifiedBy>Aybar, Bulent</cp:lastModifiedBy>
  <dcterms:created xsi:type="dcterms:W3CDTF">2018-08-16T13:06:31Z</dcterms:created>
  <dcterms:modified xsi:type="dcterms:W3CDTF">2019-04-11T21:48:01Z</dcterms:modified>
</cp:coreProperties>
</file>