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.aybar\Dropbox\AAA_AICF_International Corporate Finance\Handouts\05_Risk Management\"/>
    </mc:Choice>
  </mc:AlternateContent>
  <bookViews>
    <workbookView xWindow="0" yWindow="0" windowWidth="16488" windowHeight="5976" activeTab="7"/>
  </bookViews>
  <sheets>
    <sheet name="Base Case" sheetId="1" r:id="rId1"/>
    <sheet name="Case_1" sheetId="2" r:id="rId2"/>
    <sheet name="Case_2" sheetId="3" r:id="rId3"/>
    <sheet name="Case_3" sheetId="4" r:id="rId4"/>
    <sheet name="Case_4" sheetId="5" r:id="rId5"/>
    <sheet name="Base Case (R)" sheetId="7" r:id="rId6"/>
    <sheet name="EUR Depreciation" sheetId="8" r:id="rId7"/>
    <sheet name="Sheet6" sheetId="6" r:id="rId8"/>
  </sheets>
  <definedNames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43738.6808796296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62913" iterateDelta="9.999999999999445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8" l="1"/>
  <c r="D7" i="8"/>
  <c r="D3" i="8" s="1"/>
  <c r="E7" i="8"/>
  <c r="E3" i="8" s="1"/>
  <c r="F7" i="8"/>
  <c r="F3" i="8" s="1"/>
  <c r="B7" i="8"/>
  <c r="B3" i="8" s="1"/>
  <c r="F19" i="8"/>
  <c r="E19" i="8"/>
  <c r="D19" i="8"/>
  <c r="C19" i="8"/>
  <c r="B19" i="8"/>
  <c r="F3" i="7"/>
  <c r="F11" i="7" s="1"/>
  <c r="E3" i="7"/>
  <c r="D3" i="7"/>
  <c r="D10" i="7" s="1"/>
  <c r="C3" i="7"/>
  <c r="B3" i="7"/>
  <c r="B11" i="7" s="1"/>
  <c r="C10" i="7"/>
  <c r="C7" i="7"/>
  <c r="D7" i="7"/>
  <c r="E7" i="7"/>
  <c r="F7" i="7"/>
  <c r="B7" i="7"/>
  <c r="F19" i="7"/>
  <c r="E19" i="7"/>
  <c r="D19" i="7"/>
  <c r="C19" i="7"/>
  <c r="B19" i="7"/>
  <c r="E11" i="7"/>
  <c r="E14" i="7" s="1"/>
  <c r="E10" i="7"/>
  <c r="C25" i="5"/>
  <c r="G24" i="5"/>
  <c r="C25" i="4"/>
  <c r="G24" i="4"/>
  <c r="C3" i="8" l="1"/>
  <c r="C11" i="8" s="1"/>
  <c r="F11" i="8"/>
  <c r="B11" i="8"/>
  <c r="D10" i="8"/>
  <c r="D11" i="8"/>
  <c r="E11" i="8"/>
  <c r="E10" i="8"/>
  <c r="E14" i="8" s="1"/>
  <c r="B10" i="8"/>
  <c r="F10" i="8"/>
  <c r="C10" i="8"/>
  <c r="F10" i="7"/>
  <c r="D11" i="7"/>
  <c r="D14" i="7" s="1"/>
  <c r="D15" i="7" s="1"/>
  <c r="D16" i="7" s="1"/>
  <c r="D18" i="7" s="1"/>
  <c r="D21" i="7" s="1"/>
  <c r="D22" i="7" s="1"/>
  <c r="C11" i="7"/>
  <c r="C14" i="7" s="1"/>
  <c r="B10" i="7"/>
  <c r="B14" i="7"/>
  <c r="B15" i="7" s="1"/>
  <c r="B16" i="7" s="1"/>
  <c r="B18" i="7" s="1"/>
  <c r="B21" i="7" s="1"/>
  <c r="B22" i="7" s="1"/>
  <c r="F14" i="7"/>
  <c r="F15" i="7"/>
  <c r="F16" i="7" s="1"/>
  <c r="F18" i="7" s="1"/>
  <c r="F21" i="7" s="1"/>
  <c r="F22" i="7" s="1"/>
  <c r="F23" i="7" s="1"/>
  <c r="E15" i="7"/>
  <c r="E16" i="7" s="1"/>
  <c r="E18" i="7" s="1"/>
  <c r="E21" i="7" s="1"/>
  <c r="E22" i="7" s="1"/>
  <c r="C14" i="8" l="1"/>
  <c r="F14" i="8"/>
  <c r="B14" i="8"/>
  <c r="D14" i="8"/>
  <c r="D15" i="8" s="1"/>
  <c r="D16" i="8" s="1"/>
  <c r="D18" i="8" s="1"/>
  <c r="D21" i="8" s="1"/>
  <c r="D22" i="8" s="1"/>
  <c r="C15" i="8"/>
  <c r="C16" i="8" s="1"/>
  <c r="C18" i="8" s="1"/>
  <c r="C21" i="8" s="1"/>
  <c r="C22" i="8" s="1"/>
  <c r="F15" i="8"/>
  <c r="F16" i="8" s="1"/>
  <c r="F18" i="8" s="1"/>
  <c r="F21" i="8" s="1"/>
  <c r="F22" i="8" s="1"/>
  <c r="F23" i="8" s="1"/>
  <c r="E15" i="8"/>
  <c r="E16" i="8" s="1"/>
  <c r="E18" i="8" s="1"/>
  <c r="E21" i="8" s="1"/>
  <c r="E22" i="8" s="1"/>
  <c r="B15" i="8"/>
  <c r="B16" i="8" s="1"/>
  <c r="B18" i="8" s="1"/>
  <c r="B21" i="8" s="1"/>
  <c r="B22" i="8" s="1"/>
  <c r="C15" i="7"/>
  <c r="C16" i="7"/>
  <c r="C18" i="7" s="1"/>
  <c r="C21" i="7" s="1"/>
  <c r="C22" i="7" s="1"/>
  <c r="B24" i="7" s="1"/>
  <c r="B24" i="8" l="1"/>
  <c r="C11" i="5" l="1"/>
  <c r="O4" i="5" s="1"/>
  <c r="C12" i="5"/>
  <c r="O5" i="5" s="1"/>
  <c r="D11" i="5"/>
  <c r="E11" i="5"/>
  <c r="F11" i="5"/>
  <c r="G11" i="5"/>
  <c r="G15" i="5" s="1"/>
  <c r="G16" i="5" s="1"/>
  <c r="D12" i="5"/>
  <c r="E12" i="5"/>
  <c r="F12" i="5"/>
  <c r="G12" i="5"/>
  <c r="E15" i="5"/>
  <c r="E16" i="5" s="1"/>
  <c r="E17" i="5" s="1"/>
  <c r="E19" i="5" s="1"/>
  <c r="E22" i="5" s="1"/>
  <c r="E23" i="5" s="1"/>
  <c r="F15" i="5"/>
  <c r="C20" i="5"/>
  <c r="D20" i="5"/>
  <c r="E20" i="5"/>
  <c r="F20" i="5"/>
  <c r="G20" i="5"/>
  <c r="C11" i="4"/>
  <c r="O4" i="4" s="1"/>
  <c r="C12" i="4"/>
  <c r="O5" i="4"/>
  <c r="O6" i="4"/>
  <c r="D11" i="4"/>
  <c r="D15" i="4" s="1"/>
  <c r="E11" i="4"/>
  <c r="F11" i="4"/>
  <c r="G11" i="4"/>
  <c r="D12" i="4"/>
  <c r="E12" i="4"/>
  <c r="F12" i="4"/>
  <c r="G12" i="4"/>
  <c r="C15" i="4"/>
  <c r="E15" i="4"/>
  <c r="C20" i="4"/>
  <c r="D20" i="4"/>
  <c r="E20" i="4"/>
  <c r="F20" i="4"/>
  <c r="G20" i="4"/>
  <c r="C11" i="3"/>
  <c r="C15" i="3" s="1"/>
  <c r="C12" i="3"/>
  <c r="O6" i="3" s="1"/>
  <c r="O5" i="3"/>
  <c r="D11" i="3"/>
  <c r="E11" i="3"/>
  <c r="F11" i="3"/>
  <c r="G11" i="3"/>
  <c r="D12" i="3"/>
  <c r="E12" i="3"/>
  <c r="F12" i="3"/>
  <c r="G12" i="3"/>
  <c r="D15" i="3"/>
  <c r="D16" i="3" s="1"/>
  <c r="D17" i="3" s="1"/>
  <c r="D19" i="3" s="1"/>
  <c r="E15" i="3"/>
  <c r="E16" i="3" s="1"/>
  <c r="C20" i="3"/>
  <c r="D20" i="3"/>
  <c r="E20" i="3"/>
  <c r="F20" i="3"/>
  <c r="G20" i="3"/>
  <c r="C10" i="2"/>
  <c r="N4" i="4" s="1"/>
  <c r="D10" i="2"/>
  <c r="E10" i="2"/>
  <c r="F10" i="2"/>
  <c r="G10" i="2"/>
  <c r="C11" i="2"/>
  <c r="N5" i="5" s="1"/>
  <c r="D11" i="2"/>
  <c r="E11" i="2"/>
  <c r="E14" i="2" s="1"/>
  <c r="F11" i="2"/>
  <c r="G11" i="2"/>
  <c r="G14" i="2" s="1"/>
  <c r="C19" i="2"/>
  <c r="D19" i="2"/>
  <c r="E19" i="2"/>
  <c r="F19" i="2"/>
  <c r="G19" i="2"/>
  <c r="C10" i="1"/>
  <c r="D10" i="1"/>
  <c r="E10" i="1"/>
  <c r="F10" i="1"/>
  <c r="G10" i="1"/>
  <c r="C11" i="1"/>
  <c r="D11" i="1"/>
  <c r="E11" i="1"/>
  <c r="E14" i="1" s="1"/>
  <c r="F11" i="1"/>
  <c r="G11" i="1"/>
  <c r="C19" i="1"/>
  <c r="D19" i="1"/>
  <c r="E19" i="1"/>
  <c r="F19" i="1"/>
  <c r="G19" i="1"/>
  <c r="F16" i="5" l="1"/>
  <c r="F17" i="5" s="1"/>
  <c r="F19" i="5" s="1"/>
  <c r="F22" i="5" s="1"/>
  <c r="F23" i="5" s="1"/>
  <c r="C15" i="5"/>
  <c r="C16" i="5" s="1"/>
  <c r="D15" i="5"/>
  <c r="D16" i="5" s="1"/>
  <c r="D17" i="5" s="1"/>
  <c r="D19" i="5" s="1"/>
  <c r="D22" i="5" s="1"/>
  <c r="D23" i="5" s="1"/>
  <c r="O6" i="5"/>
  <c r="C17" i="4"/>
  <c r="C19" i="4" s="1"/>
  <c r="D17" i="4"/>
  <c r="D19" i="4" s="1"/>
  <c r="D22" i="4" s="1"/>
  <c r="D23" i="4" s="1"/>
  <c r="D16" i="4"/>
  <c r="C16" i="4"/>
  <c r="F15" i="4"/>
  <c r="F16" i="4" s="1"/>
  <c r="P4" i="4"/>
  <c r="E16" i="4"/>
  <c r="E17" i="4" s="1"/>
  <c r="E19" i="4" s="1"/>
  <c r="E22" i="4" s="1"/>
  <c r="E23" i="4" s="1"/>
  <c r="G15" i="4"/>
  <c r="F14" i="2"/>
  <c r="F15" i="2" s="1"/>
  <c r="D14" i="1"/>
  <c r="D15" i="1" s="1"/>
  <c r="D22" i="3"/>
  <c r="D23" i="3" s="1"/>
  <c r="O4" i="3"/>
  <c r="O7" i="3" s="1"/>
  <c r="D14" i="2"/>
  <c r="D15" i="2" s="1"/>
  <c r="N4" i="5"/>
  <c r="P4" i="5" s="1"/>
  <c r="G15" i="3"/>
  <c r="G16" i="3" s="1"/>
  <c r="G17" i="3" s="1"/>
  <c r="G19" i="3" s="1"/>
  <c r="G22" i="3" s="1"/>
  <c r="G23" i="3" s="1"/>
  <c r="G24" i="3" s="1"/>
  <c r="F15" i="3"/>
  <c r="G14" i="1"/>
  <c r="G15" i="1" s="1"/>
  <c r="G16" i="1" s="1"/>
  <c r="G18" i="1" s="1"/>
  <c r="G21" i="1" s="1"/>
  <c r="G22" i="1" s="1"/>
  <c r="G23" i="1" s="1"/>
  <c r="C14" i="1"/>
  <c r="C15" i="1" s="1"/>
  <c r="C16" i="1" s="1"/>
  <c r="C18" i="1" s="1"/>
  <c r="C21" i="1" s="1"/>
  <c r="C22" i="1" s="1"/>
  <c r="F14" i="1"/>
  <c r="F15" i="1" s="1"/>
  <c r="F16" i="1" s="1"/>
  <c r="F18" i="1" s="1"/>
  <c r="F21" i="1" s="1"/>
  <c r="F22" i="1" s="1"/>
  <c r="F16" i="3"/>
  <c r="F17" i="3" s="1"/>
  <c r="F19" i="3" s="1"/>
  <c r="F22" i="3" s="1"/>
  <c r="F23" i="3" s="1"/>
  <c r="G15" i="2"/>
  <c r="G16" i="2" s="1"/>
  <c r="G18" i="2" s="1"/>
  <c r="G21" i="2" s="1"/>
  <c r="G22" i="2" s="1"/>
  <c r="G23" i="2" s="1"/>
  <c r="P5" i="5"/>
  <c r="E15" i="1"/>
  <c r="E16" i="1" s="1"/>
  <c r="E18" i="1" s="1"/>
  <c r="E21" i="1" s="1"/>
  <c r="E22" i="1" s="1"/>
  <c r="E15" i="2"/>
  <c r="E16" i="2" s="1"/>
  <c r="E18" i="2" s="1"/>
  <c r="E21" i="2" s="1"/>
  <c r="E22" i="2" s="1"/>
  <c r="C16" i="3"/>
  <c r="C17" i="3" s="1"/>
  <c r="C19" i="3" s="1"/>
  <c r="E17" i="3"/>
  <c r="E19" i="3" s="1"/>
  <c r="E22" i="3" s="1"/>
  <c r="E23" i="3" s="1"/>
  <c r="N6" i="3"/>
  <c r="P6" i="3" s="1"/>
  <c r="N5" i="3"/>
  <c r="P5" i="3" s="1"/>
  <c r="N4" i="3"/>
  <c r="G17" i="5"/>
  <c r="G19" i="5" s="1"/>
  <c r="G22" i="5" s="1"/>
  <c r="G23" i="5" s="1"/>
  <c r="N6" i="5"/>
  <c r="D16" i="1"/>
  <c r="D18" i="1" s="1"/>
  <c r="D21" i="1" s="1"/>
  <c r="D22" i="1" s="1"/>
  <c r="F16" i="2"/>
  <c r="F18" i="2" s="1"/>
  <c r="F21" i="2" s="1"/>
  <c r="F22" i="2" s="1"/>
  <c r="C14" i="2"/>
  <c r="N6" i="4"/>
  <c r="P6" i="4" s="1"/>
  <c r="P7" i="4" s="1"/>
  <c r="C21" i="4" s="1"/>
  <c r="C22" i="4" s="1"/>
  <c r="C23" i="4" s="1"/>
  <c r="N5" i="4"/>
  <c r="P5" i="4" s="1"/>
  <c r="P6" i="5" l="1"/>
  <c r="C17" i="5"/>
  <c r="C19" i="5" s="1"/>
  <c r="F17" i="4"/>
  <c r="F19" i="4" s="1"/>
  <c r="F22" i="4" s="1"/>
  <c r="F23" i="4" s="1"/>
  <c r="G16" i="4"/>
  <c r="G17" i="4" s="1"/>
  <c r="G19" i="4" s="1"/>
  <c r="G22" i="4" s="1"/>
  <c r="G23" i="4" s="1"/>
  <c r="F6" i="6" s="1"/>
  <c r="C24" i="1"/>
  <c r="F3" i="6" s="1"/>
  <c r="D16" i="2"/>
  <c r="D18" i="2" s="1"/>
  <c r="D21" i="2" s="1"/>
  <c r="D22" i="2" s="1"/>
  <c r="P7" i="5"/>
  <c r="C21" i="5" s="1"/>
  <c r="C22" i="5" s="1"/>
  <c r="C23" i="5" s="1"/>
  <c r="F7" i="6" s="1"/>
  <c r="P4" i="3"/>
  <c r="P8" i="3" s="1"/>
  <c r="C21" i="3" s="1"/>
  <c r="C22" i="3" s="1"/>
  <c r="C23" i="3" s="1"/>
  <c r="C25" i="3" s="1"/>
  <c r="N7" i="3"/>
  <c r="P7" i="3" s="1"/>
  <c r="C15" i="2"/>
  <c r="C16" i="2" s="1"/>
  <c r="C18" i="2" s="1"/>
  <c r="C21" i="2" s="1"/>
  <c r="C22" i="2" s="1"/>
  <c r="G6" i="6" l="1"/>
  <c r="H6" i="6" s="1"/>
  <c r="C24" i="2"/>
  <c r="F4" i="6" s="1"/>
  <c r="G4" i="6" s="1"/>
  <c r="H4" i="6" s="1"/>
  <c r="F5" i="6"/>
  <c r="G5" i="6" s="1"/>
  <c r="H5" i="6" s="1"/>
  <c r="G7" i="6"/>
  <c r="H7" i="6" s="1"/>
</calcChain>
</file>

<file path=xl/sharedStrings.xml><?xml version="1.0" encoding="utf-8"?>
<sst xmlns="http://schemas.openxmlformats.org/spreadsheetml/2006/main" count="322" uniqueCount="68">
  <si>
    <t>Base Case</t>
  </si>
  <si>
    <t>Sales volume (units)</t>
  </si>
  <si>
    <t>Sales revenues</t>
  </si>
  <si>
    <t>Direct cost of goods sold</t>
  </si>
  <si>
    <t>Cash operating expenses (fixed)</t>
  </si>
  <si>
    <t>Depreciation</t>
  </si>
  <si>
    <t>Operating Profitts</t>
  </si>
  <si>
    <t>Assumptions</t>
  </si>
  <si>
    <t>Sales Price per Unit</t>
  </si>
  <si>
    <t>Direct Cost per Unit</t>
  </si>
  <si>
    <t>German Corporate Tax</t>
  </si>
  <si>
    <t>Exchange rate (EUR/USD)</t>
  </si>
  <si>
    <t>Income Statement</t>
  </si>
  <si>
    <t>Income Tax Expense</t>
  </si>
  <si>
    <t>Net Income</t>
  </si>
  <si>
    <t>Cash Flows for Valuation</t>
  </si>
  <si>
    <t>Add Back Depreciation</t>
  </si>
  <si>
    <t>Changes in WCR</t>
  </si>
  <si>
    <t>Free Cash Flow (EUR)</t>
  </si>
  <si>
    <t>Fee Cash Flow in USD</t>
  </si>
  <si>
    <t>PV @ 15%</t>
  </si>
  <si>
    <t>Change in WCR</t>
  </si>
  <si>
    <t>Delta A/R</t>
  </si>
  <si>
    <t>Delta Inv</t>
  </si>
  <si>
    <t>Delta A/P</t>
  </si>
  <si>
    <t>Delta WCR</t>
  </si>
  <si>
    <t>Change</t>
  </si>
  <si>
    <t>Case_3</t>
  </si>
  <si>
    <t>Summary</t>
  </si>
  <si>
    <t>Case</t>
  </si>
  <si>
    <t>Baseline</t>
  </si>
  <si>
    <t>No Change</t>
  </si>
  <si>
    <t>Volume Increase</t>
  </si>
  <si>
    <t>Price Increase</t>
  </si>
  <si>
    <t>Price and Volume Increse</t>
  </si>
  <si>
    <t>Exchange Rate</t>
  </si>
  <si>
    <t>Price</t>
  </si>
  <si>
    <t>Volume</t>
  </si>
  <si>
    <t>Cost</t>
  </si>
  <si>
    <t>Valuation</t>
  </si>
  <si>
    <t xml:space="preserve">Change in Value </t>
  </si>
  <si>
    <t>% Change</t>
  </si>
  <si>
    <t>Case_2</t>
  </si>
  <si>
    <t>Case_4</t>
  </si>
  <si>
    <t>2014</t>
  </si>
  <si>
    <t>2015</t>
  </si>
  <si>
    <t>2016</t>
  </si>
  <si>
    <t>2017</t>
  </si>
  <si>
    <t>2018</t>
  </si>
  <si>
    <t xml:space="preserve">Terminal Value </t>
  </si>
  <si>
    <t>WCR</t>
  </si>
  <si>
    <t>ACP (days)</t>
  </si>
  <si>
    <t>DIS(days)</t>
  </si>
  <si>
    <t>APP (days)</t>
  </si>
  <si>
    <t xml:space="preserve">Cost of Capital </t>
  </si>
  <si>
    <t xml:space="preserve">Subsidiary Value </t>
  </si>
  <si>
    <t>Data</t>
  </si>
  <si>
    <t xml:space="preserve">Direct Cost per Unit    </t>
  </si>
  <si>
    <t xml:space="preserve">German Corporate Tax  </t>
  </si>
  <si>
    <t xml:space="preserve">Perpetual Growth Rate  </t>
  </si>
  <si>
    <t xml:space="preserve">Sales Price per Unit   </t>
  </si>
  <si>
    <t>Exchange Rate (EUR/USD)</t>
  </si>
  <si>
    <t xml:space="preserve">Base Case Data </t>
  </si>
  <si>
    <t>Case #1</t>
  </si>
  <si>
    <t>Case#2</t>
  </si>
  <si>
    <t>Case#3</t>
  </si>
  <si>
    <t>US Risk Free Interest Rate</t>
  </si>
  <si>
    <t xml:space="preserve">Price Elasticity of Demand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</si>
</sst>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_(* #,##0_);_(* \(#,##0\);_(* &quot;-&quot;??_);_(@_)"/>
    <numFmt numFmtId="166" formatCode="_([$€-2]\ * #,##0.00_);_([$€-2]\ * \(#,##0.00\);_([$€-2]\ * &quot;-&quot;??_);_(@_)"/>
    <numFmt numFmtId="167" formatCode="0.0%"/>
    <numFmt numFmtId="173" formatCode="[$€-2]\ #,##0.00;[Red]\-[$€-2]\ #,##0.00"/>
    <numFmt numFmtId="174" formatCode="&quot;$&quot;#,##0.00"/>
    <numFmt numFmtId="176" formatCode="_(&quot;$&quot;* #,##0.0000_);_(&quot;$&quot;* \(#,##0.00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u/>
      <sz val="11"/>
      <color rgb="FF002060"/>
      <name val="Calibri"/>
      <family val="2"/>
      <scheme val="minor"/>
    </font>
    <font>
      <u/>
      <sz val="11"/>
      <color rgb="FF00206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theme="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9">
    <xf numFmtId="0" fontId="0" fillId="0" borderId="0" xfId="0"/>
    <xf numFmtId="164" fontId="0" fillId="0" borderId="0" xfId="0" applyNumberFormat="1"/>
    <xf numFmtId="0" fontId="2" fillId="0" borderId="0" xfId="0" applyFont="1"/>
    <xf numFmtId="6" fontId="2" fillId="0" borderId="0" xfId="0" applyNumberFormat="1" applyFont="1"/>
    <xf numFmtId="0" fontId="3" fillId="0" borderId="0" xfId="0" applyFont="1"/>
    <xf numFmtId="6" fontId="3" fillId="0" borderId="0" xfId="0" applyNumberFormat="1" applyFont="1"/>
    <xf numFmtId="0" fontId="4" fillId="0" borderId="0" xfId="0" applyFont="1"/>
    <xf numFmtId="0" fontId="4" fillId="2" borderId="0" xfId="0" applyFont="1" applyFill="1"/>
    <xf numFmtId="0" fontId="4" fillId="0" borderId="1" xfId="0" applyFont="1" applyBorder="1"/>
    <xf numFmtId="0" fontId="4" fillId="0" borderId="2" xfId="0" applyFont="1" applyBorder="1"/>
    <xf numFmtId="0" fontId="3" fillId="0" borderId="3" xfId="0" applyFont="1" applyBorder="1"/>
    <xf numFmtId="6" fontId="3" fillId="0" borderId="3" xfId="0" applyNumberFormat="1" applyFont="1" applyBorder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2" borderId="0" xfId="0" applyFont="1" applyFill="1"/>
    <xf numFmtId="165" fontId="2" fillId="0" borderId="0" xfId="1" applyNumberFormat="1" applyFont="1"/>
    <xf numFmtId="166" fontId="2" fillId="0" borderId="0" xfId="0" applyNumberFormat="1" applyFont="1"/>
    <xf numFmtId="10" fontId="2" fillId="0" borderId="0" xfId="0" applyNumberFormat="1" applyFont="1"/>
    <xf numFmtId="164" fontId="2" fillId="0" borderId="0" xfId="0" applyNumberFormat="1" applyFont="1"/>
    <xf numFmtId="165" fontId="2" fillId="0" borderId="0" xfId="0" applyNumberFormat="1" applyFont="1"/>
    <xf numFmtId="165" fontId="2" fillId="2" borderId="0" xfId="1" applyNumberFormat="1" applyFont="1" applyFill="1"/>
    <xf numFmtId="166" fontId="2" fillId="2" borderId="0" xfId="0" applyNumberFormat="1" applyFont="1" applyFill="1"/>
    <xf numFmtId="164" fontId="2" fillId="2" borderId="0" xfId="0" applyNumberFormat="1" applyFont="1" applyFill="1"/>
    <xf numFmtId="165" fontId="2" fillId="2" borderId="0" xfId="0" applyNumberFormat="1" applyFont="1" applyFill="1"/>
    <xf numFmtId="8" fontId="2" fillId="0" borderId="0" xfId="0" applyNumberFormat="1" applyFont="1"/>
    <xf numFmtId="2" fontId="2" fillId="0" borderId="0" xfId="0" applyNumberFormat="1" applyFont="1"/>
    <xf numFmtId="165" fontId="3" fillId="0" borderId="0" xfId="0" applyNumberFormat="1" applyFont="1"/>
    <xf numFmtId="174" fontId="0" fillId="0" borderId="0" xfId="0" applyNumberFormat="1"/>
    <xf numFmtId="3" fontId="2" fillId="0" borderId="0" xfId="0" applyNumberFormat="1" applyFont="1"/>
    <xf numFmtId="173" fontId="2" fillId="0" borderId="0" xfId="0" applyNumberFormat="1" applyFont="1"/>
    <xf numFmtId="44" fontId="2" fillId="0" borderId="0" xfId="3" applyFont="1"/>
    <xf numFmtId="9" fontId="2" fillId="0" borderId="0" xfId="0" applyNumberFormat="1" applyFont="1"/>
    <xf numFmtId="0" fontId="2" fillId="0" borderId="0" xfId="0" applyFont="1" applyAlignment="1">
      <alignment horizontal="center"/>
    </xf>
    <xf numFmtId="43" fontId="2" fillId="0" borderId="0" xfId="0" applyNumberFormat="1" applyFont="1"/>
    <xf numFmtId="0" fontId="5" fillId="0" borderId="0" xfId="0" applyFont="1"/>
    <xf numFmtId="9" fontId="2" fillId="0" borderId="0" xfId="3" applyNumberFormat="1" applyFont="1"/>
    <xf numFmtId="176" fontId="2" fillId="0" borderId="0" xfId="3" applyNumberFormat="1" applyFont="1"/>
    <xf numFmtId="0" fontId="3" fillId="0" borderId="0" xfId="0" applyFont="1" applyAlignment="1">
      <alignment textRotation="45"/>
    </xf>
    <xf numFmtId="167" fontId="2" fillId="0" borderId="0" xfId="2" applyNumberFormat="1" applyFont="1"/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114">
    <dxf>
      <font>
        <strike val="0"/>
        <outline val="0"/>
        <shadow val="0"/>
        <u val="none"/>
        <vertAlign val="baseline"/>
        <sz val="11"/>
        <color rgb="FF002060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206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2060"/>
        <name val="Calibri"/>
        <scheme val="minor"/>
      </font>
      <numFmt numFmtId="167" formatCode="0.0%"/>
    </dxf>
    <dxf>
      <font>
        <strike val="0"/>
        <outline val="0"/>
        <shadow val="0"/>
        <u val="none"/>
        <vertAlign val="baseline"/>
        <sz val="11"/>
        <color rgb="FF002060"/>
        <name val="Calibri"/>
        <scheme val="minor"/>
      </font>
      <numFmt numFmtId="10" formatCode="&quot;$&quot;#,##0_);[Red]\(&quot;$&quot;#,##0\)"/>
    </dxf>
    <dxf>
      <font>
        <strike val="0"/>
        <outline val="0"/>
        <shadow val="0"/>
        <u val="none"/>
        <vertAlign val="baseline"/>
        <sz val="11"/>
        <color rgb="FF002060"/>
        <name val="Calibri"/>
        <scheme val="minor"/>
      </font>
      <numFmt numFmtId="10" formatCode="&quot;$&quot;#,##0_);[Red]\(&quot;$&quot;#,##0\)"/>
    </dxf>
    <dxf>
      <font>
        <strike val="0"/>
        <outline val="0"/>
        <shadow val="0"/>
        <u val="none"/>
        <vertAlign val="baseline"/>
        <sz val="11"/>
        <color rgb="FF002060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2060"/>
        <name val="Calibri"/>
        <scheme val="minor"/>
      </font>
      <numFmt numFmtId="165" formatCode="_(* #,##0_);_(* \(#,##0\);_(* &quot;-&quot;??_);_(@_)"/>
    </dxf>
    <dxf>
      <font>
        <strike val="0"/>
        <outline val="0"/>
        <shadow val="0"/>
        <u val="none"/>
        <vertAlign val="baseline"/>
        <sz val="11"/>
        <color rgb="FF002060"/>
        <name val="Calibri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11"/>
        <color rgb="FF002060"/>
        <name val="Calibri"/>
        <scheme val="minor"/>
      </font>
      <numFmt numFmtId="164" formatCode="0.0000"/>
    </dxf>
    <dxf>
      <font>
        <strike val="0"/>
        <outline val="0"/>
        <shadow val="0"/>
        <u val="none"/>
        <vertAlign val="baseline"/>
        <sz val="11"/>
        <color rgb="FF002060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rgb="FF002060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rgb="FF002060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rgb="FF002060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rgb="FF002060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2060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rgb="FF002060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rgb="FF002060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rgb="FF002060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1"/>
        <color rgb="FF002060"/>
        <name val="Calibri"/>
        <scheme val="minor"/>
      </font>
    </dxf>
    <dxf>
      <font>
        <strike val="0"/>
        <outline val="0"/>
        <shadow val="0"/>
        <vertAlign val="baseline"/>
        <sz val="11"/>
        <color rgb="FF002060"/>
        <name val="Calibri"/>
        <scheme val="minor"/>
      </font>
    </dxf>
    <dxf>
      <font>
        <strike val="0"/>
        <outline val="0"/>
        <shadow val="0"/>
        <vertAlign val="baseline"/>
        <sz val="11"/>
        <color rgb="FF002060"/>
        <name val="Calibri"/>
        <scheme val="minor"/>
      </font>
    </dxf>
    <dxf>
      <font>
        <strike val="0"/>
        <outline val="0"/>
        <shadow val="0"/>
        <vertAlign val="baseline"/>
        <sz val="11"/>
        <color rgb="FF002060"/>
        <name val="Calibri"/>
        <scheme val="minor"/>
      </font>
    </dxf>
    <dxf>
      <font>
        <strike val="0"/>
        <outline val="0"/>
        <shadow val="0"/>
        <vertAlign val="baseline"/>
        <sz val="11"/>
        <color rgb="FF002060"/>
        <name val="Calibri"/>
        <scheme val="minor"/>
      </font>
    </dxf>
    <dxf>
      <font>
        <strike val="0"/>
        <outline val="0"/>
        <shadow val="0"/>
        <vertAlign val="baseline"/>
        <sz val="11"/>
        <color rgb="FF002060"/>
        <name val="Calibri"/>
        <scheme val="minor"/>
      </font>
    </dxf>
    <dxf>
      <font>
        <strike val="0"/>
        <outline val="0"/>
        <shadow val="0"/>
        <vertAlign val="baseline"/>
        <sz val="11"/>
        <color rgb="FF002060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rgb="FF002060"/>
        <name val="Calibri"/>
        <scheme val="minor"/>
      </font>
    </dxf>
    <dxf>
      <font>
        <b val="0"/>
        <strike val="0"/>
        <outline val="0"/>
        <shadow val="0"/>
        <vertAlign val="baseline"/>
        <sz val="11"/>
        <color rgb="FF00206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/>
        <vertAlign val="baseline"/>
        <sz val="11"/>
        <color rgb="FF002060"/>
        <name val="Calibri"/>
        <scheme val="minor"/>
      </font>
    </dxf>
    <dxf>
      <font>
        <b val="0"/>
        <strike val="0"/>
        <outline val="0"/>
        <shadow val="0"/>
        <vertAlign val="baseline"/>
        <sz val="11"/>
        <color rgb="FF002060"/>
        <name val="Calibri"/>
        <scheme val="minor"/>
      </font>
    </dxf>
    <dxf>
      <font>
        <b val="0"/>
        <strike val="0"/>
        <outline val="0"/>
        <shadow val="0"/>
        <vertAlign val="baseline"/>
        <sz val="11"/>
        <color rgb="FF002060"/>
        <name val="Calibri"/>
        <scheme val="minor"/>
      </font>
    </dxf>
    <dxf>
      <font>
        <b val="0"/>
        <strike val="0"/>
        <outline val="0"/>
        <shadow val="0"/>
        <vertAlign val="baseline"/>
        <sz val="11"/>
        <color rgb="FF002060"/>
        <name val="Calibri"/>
        <scheme val="minor"/>
      </font>
    </dxf>
    <dxf>
      <font>
        <b val="0"/>
        <strike val="0"/>
        <outline val="0"/>
        <shadow val="0"/>
        <vertAlign val="baseline"/>
        <sz val="11"/>
        <color rgb="FF002060"/>
        <name val="Calibri"/>
        <scheme val="minor"/>
      </font>
    </dxf>
    <dxf>
      <font>
        <b val="0"/>
        <strike val="0"/>
        <outline val="0"/>
        <shadow val="0"/>
        <vertAlign val="baseline"/>
        <sz val="11"/>
        <color rgb="FF002060"/>
        <name val="Calibri"/>
        <scheme val="minor"/>
      </font>
    </dxf>
    <dxf>
      <font>
        <b val="0"/>
        <strike val="0"/>
        <outline val="0"/>
        <shadow val="0"/>
        <vertAlign val="baseline"/>
        <sz val="11"/>
        <color rgb="FF002060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rgb="FF002060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rgb="FF002060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rgb="FF002060"/>
        <name val="Calibri"/>
        <scheme val="minor"/>
      </font>
      <numFmt numFmtId="165" formatCode="_(* #,##0_);_(* \(#,##0\);_(* &quot;-&quot;??_);_(@_)"/>
    </dxf>
    <dxf>
      <font>
        <strike val="0"/>
        <outline val="0"/>
        <shadow val="0"/>
        <u val="none"/>
        <vertAlign val="baseline"/>
        <sz val="11"/>
        <color rgb="FF002060"/>
        <name val="Calibri"/>
        <scheme val="minor"/>
      </font>
      <numFmt numFmtId="165" formatCode="_(* #,##0_);_(* \(#,##0\);_(* &quot;-&quot;??_);_(@_)"/>
    </dxf>
    <dxf>
      <font>
        <strike val="0"/>
        <outline val="0"/>
        <shadow val="0"/>
        <u val="none"/>
        <vertAlign val="baseline"/>
        <sz val="11"/>
        <color rgb="FF002060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rgb="FF002060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rgb="FF002060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rgb="FF002060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rgb="FF002060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rgb="FF002060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rgb="FF002060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1"/>
        <color rgb="FF002060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rgb="FF002060"/>
        <name val="Calibri"/>
        <scheme val="minor"/>
      </font>
    </dxf>
    <dxf>
      <font>
        <strike val="0"/>
        <outline val="0"/>
        <shadow val="0"/>
        <vertAlign val="baseline"/>
        <sz val="11"/>
        <color rgb="FF002060"/>
        <name val="Calibri"/>
        <scheme val="minor"/>
      </font>
    </dxf>
    <dxf>
      <font>
        <strike val="0"/>
        <outline val="0"/>
        <shadow val="0"/>
        <vertAlign val="baseline"/>
        <sz val="11"/>
        <color rgb="FF002060"/>
        <name val="Calibri"/>
        <scheme val="minor"/>
      </font>
    </dxf>
    <dxf>
      <font>
        <strike val="0"/>
        <outline val="0"/>
        <shadow val="0"/>
        <vertAlign val="baseline"/>
        <sz val="11"/>
        <color rgb="FF002060"/>
        <name val="Calibri"/>
        <scheme val="minor"/>
      </font>
    </dxf>
    <dxf>
      <font>
        <strike val="0"/>
        <outline val="0"/>
        <shadow val="0"/>
        <vertAlign val="baseline"/>
        <sz val="11"/>
        <color rgb="FF002060"/>
        <name val="Calibri"/>
        <scheme val="minor"/>
      </font>
    </dxf>
    <dxf>
      <font>
        <strike val="0"/>
        <outline val="0"/>
        <shadow val="0"/>
        <vertAlign val="baseline"/>
        <sz val="11"/>
        <color rgb="FF002060"/>
        <name val="Calibri"/>
        <scheme val="minor"/>
      </font>
    </dxf>
    <dxf>
      <font>
        <strike val="0"/>
        <outline val="0"/>
        <shadow val="0"/>
        <vertAlign val="baseline"/>
        <sz val="11"/>
        <color rgb="FF002060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rgb="FF002060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rgb="FF002060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rgb="FF002060"/>
        <name val="Calibri"/>
        <scheme val="minor"/>
      </font>
      <numFmt numFmtId="165" formatCode="_(* #,##0_);_(* \(#,##0\);_(* &quot;-&quot;??_);_(@_)"/>
    </dxf>
    <dxf>
      <font>
        <strike val="0"/>
        <outline val="0"/>
        <shadow val="0"/>
        <u val="none"/>
        <vertAlign val="baseline"/>
        <sz val="11"/>
        <color rgb="FF002060"/>
        <name val="Calibri"/>
        <scheme val="minor"/>
      </font>
      <numFmt numFmtId="165" formatCode="_(* #,##0_);_(* \(#,##0\);_(* &quot;-&quot;??_);_(@_)"/>
    </dxf>
    <dxf>
      <font>
        <strike val="0"/>
        <outline val="0"/>
        <shadow val="0"/>
        <u val="none"/>
        <vertAlign val="baseline"/>
        <sz val="11"/>
        <color rgb="FF002060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rgb="FF002060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rgb="FF002060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rgb="FF002060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rgb="FF002060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rgb="FF002060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rgb="FF002060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2060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rgb="FF002060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rgb="FF002060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rgb="FF002060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rgb="FF002060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rgb="FF002060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206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206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206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206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2060"/>
        <name val="Calibri"/>
        <scheme val="minor"/>
      </font>
      <numFmt numFmtId="12" formatCode="&quot;$&quot;#,##0.00_);[Red]\(&quot;$&quot;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2060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rgb="FF002060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rgb="FF002060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2060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rgb="FF002060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rgb="FF002060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rgb="FF002060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2060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rgb="FF002060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rgb="FF002060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rgb="FF002060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rgb="FF002060"/>
        <name val="Calibri"/>
        <scheme val="minor"/>
      </font>
      <numFmt numFmtId="165" formatCode="_(* #,##0_);_(* \(#,##0\);_(* &quot;-&quot;??_);_(@_)"/>
    </dxf>
    <dxf>
      <font>
        <strike val="0"/>
        <outline val="0"/>
        <shadow val="0"/>
        <u val="none"/>
        <vertAlign val="baseline"/>
        <sz val="11"/>
        <color rgb="FF002060"/>
        <name val="Calibri"/>
        <scheme val="minor"/>
      </font>
      <numFmt numFmtId="165" formatCode="_(* #,##0_);_(* \(#,##0\);_(* &quot;-&quot;??_);_(@_)"/>
    </dxf>
    <dxf>
      <font>
        <strike val="0"/>
        <outline val="0"/>
        <shadow val="0"/>
        <u val="none"/>
        <vertAlign val="baseline"/>
        <sz val="11"/>
        <color rgb="FF002060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rgb="FF002060"/>
        <name val="Calibri"/>
        <scheme val="minor"/>
      </font>
    </dxf>
    <dxf>
      <font>
        <strike val="0"/>
        <outline val="0"/>
        <shadow val="0"/>
        <vertAlign val="baseline"/>
        <sz val="11"/>
        <color rgb="FF002060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rgb="FF002060"/>
        <name val="Calibri"/>
        <scheme val="minor"/>
      </font>
    </dxf>
    <dxf>
      <font>
        <strike val="0"/>
        <outline val="0"/>
        <shadow val="0"/>
        <vertAlign val="baseline"/>
        <sz val="11"/>
        <color rgb="FF002060"/>
        <name val="Calibri"/>
        <scheme val="minor"/>
      </font>
    </dxf>
    <dxf>
      <font>
        <strike val="0"/>
        <outline val="0"/>
        <shadow val="0"/>
        <vertAlign val="baseline"/>
        <sz val="11"/>
        <color rgb="FF002060"/>
        <name val="Calibri"/>
        <scheme val="minor"/>
      </font>
    </dxf>
    <dxf>
      <font>
        <strike val="0"/>
        <outline val="0"/>
        <shadow val="0"/>
        <vertAlign val="baseline"/>
        <sz val="11"/>
        <color rgb="FF002060"/>
        <name val="Calibri"/>
        <scheme val="minor"/>
      </font>
    </dxf>
    <dxf>
      <font>
        <strike val="0"/>
        <outline val="0"/>
        <shadow val="0"/>
        <vertAlign val="baseline"/>
        <sz val="11"/>
        <color rgb="FF002060"/>
        <name val="Calibri"/>
        <scheme val="minor"/>
      </font>
    </dxf>
    <dxf>
      <font>
        <strike val="0"/>
        <outline val="0"/>
        <shadow val="0"/>
        <vertAlign val="baseline"/>
        <sz val="11"/>
        <color rgb="FF002060"/>
        <name val="Calibri"/>
        <scheme val="minor"/>
      </font>
    </dxf>
    <dxf>
      <font>
        <strike val="0"/>
        <outline val="0"/>
        <shadow val="0"/>
        <vertAlign val="baseline"/>
        <sz val="11"/>
        <color rgb="FF002060"/>
        <name val="Calibri"/>
        <scheme val="minor"/>
      </font>
    </dxf>
    <dxf>
      <font>
        <strike val="0"/>
        <outline val="0"/>
        <shadow val="0"/>
        <vertAlign val="baseline"/>
        <sz val="11"/>
        <color rgb="FF002060"/>
        <name val="Calibri"/>
        <scheme val="minor"/>
      </font>
    </dxf>
    <dxf>
      <font>
        <strike val="0"/>
        <outline val="0"/>
        <shadow val="0"/>
        <vertAlign val="baseline"/>
        <sz val="11"/>
        <color rgb="FF002060"/>
        <name val="Calibri"/>
        <scheme val="minor"/>
      </font>
    </dxf>
    <dxf>
      <font>
        <strike val="0"/>
        <outline val="0"/>
        <shadow val="0"/>
        <vertAlign val="baseline"/>
        <sz val="11"/>
        <color rgb="FF002060"/>
        <name val="Calibri"/>
        <scheme val="minor"/>
      </font>
    </dxf>
    <dxf>
      <font>
        <strike val="0"/>
        <outline val="0"/>
        <shadow val="0"/>
        <vertAlign val="baseline"/>
        <sz val="11"/>
        <color rgb="FF002060"/>
        <name val="Calibri"/>
        <scheme val="minor"/>
      </font>
    </dxf>
    <dxf>
      <font>
        <strike val="0"/>
        <outline val="0"/>
        <shadow val="0"/>
        <vertAlign val="baseline"/>
        <sz val="11"/>
        <color rgb="FF002060"/>
        <name val="Calibri"/>
        <scheme val="minor"/>
      </font>
    </dxf>
    <dxf>
      <font>
        <strike val="0"/>
        <outline val="0"/>
        <shadow val="0"/>
        <vertAlign val="baseline"/>
        <sz val="11"/>
        <color rgb="FF002060"/>
        <name val="Calibri"/>
        <scheme val="minor"/>
      </font>
    </dxf>
    <dxf>
      <font>
        <strike val="0"/>
        <outline val="0"/>
        <shadow val="0"/>
        <vertAlign val="baseline"/>
        <sz val="11"/>
        <color rgb="FF002060"/>
        <name val="Calibri"/>
        <scheme val="minor"/>
      </font>
    </dxf>
    <dxf>
      <font>
        <strike val="0"/>
        <outline val="0"/>
        <shadow val="0"/>
        <vertAlign val="baseline"/>
        <sz val="11"/>
        <color rgb="FF002060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rgb="FF002060"/>
        <name val="Calibri"/>
        <scheme val="minor"/>
      </font>
    </dxf>
    <dxf>
      <font>
        <strike val="0"/>
        <outline val="0"/>
        <shadow val="0"/>
        <vertAlign val="baseline"/>
        <sz val="11"/>
        <color rgb="FF002060"/>
        <name val="Calibri"/>
        <scheme val="minor"/>
      </font>
    </dxf>
    <dxf>
      <font>
        <strike val="0"/>
        <outline val="0"/>
        <shadow val="0"/>
        <vertAlign val="baseline"/>
        <sz val="11"/>
        <color rgb="FF002060"/>
        <name val="Calibri"/>
        <scheme val="minor"/>
      </font>
    </dxf>
    <dxf>
      <font>
        <strike val="0"/>
        <outline val="0"/>
        <shadow val="0"/>
        <vertAlign val="baseline"/>
        <sz val="11"/>
        <color rgb="FF002060"/>
        <name val="Calibri"/>
        <scheme val="minor"/>
      </font>
    </dxf>
    <dxf>
      <font>
        <strike val="0"/>
        <outline val="0"/>
        <shadow val="0"/>
        <vertAlign val="baseline"/>
        <sz val="11"/>
        <color rgb="FF002060"/>
        <name val="Calibri"/>
        <scheme val="minor"/>
      </font>
    </dxf>
    <dxf>
      <font>
        <strike val="0"/>
        <outline val="0"/>
        <shadow val="0"/>
        <vertAlign val="baseline"/>
        <sz val="11"/>
        <color rgb="FF002060"/>
        <name val="Calibri"/>
        <scheme val="minor"/>
      </font>
    </dxf>
    <dxf>
      <font>
        <strike val="0"/>
        <outline val="0"/>
        <shadow val="0"/>
        <vertAlign val="baseline"/>
        <sz val="11"/>
        <color rgb="FF002060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rgb="FF002060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9" name="Table9" displayName="Table9" ref="B2:G24" totalsRowShown="0" headerRowDxfId="113" dataDxfId="98">
  <autoFilter ref="B2:G24"/>
  <tableColumns count="6">
    <tableColumn id="1" name="Assumptions" dataDxfId="104"/>
    <tableColumn id="2" name="2014" dataDxfId="103"/>
    <tableColumn id="3" name="2015" dataDxfId="102"/>
    <tableColumn id="4" name="2016" dataDxfId="101"/>
    <tableColumn id="5" name="2017" dataDxfId="100"/>
    <tableColumn id="6" name="2018" dataDxfId="99"/>
  </tableColumns>
  <tableStyleInfo name="TableStyleLight2" showFirstColumn="0" showLastColumn="0" showRowStripes="1" showColumnStripes="0"/>
</table>
</file>

<file path=xl/tables/table10.xml><?xml version="1.0" encoding="utf-8"?>
<table xmlns="http://schemas.openxmlformats.org/spreadsheetml/2006/main" id="15" name="Table111516" displayName="Table111516" ref="I3:K13" totalsRowShown="0" headerRowDxfId="63" dataDxfId="62">
  <autoFilter ref="I3:K13"/>
  <tableColumns count="3">
    <tableColumn id="1" name="Base Case Data " dataDxfId="61"/>
    <tableColumn id="2" name="Base Case" dataDxfId="60"/>
    <tableColumn id="3" name="Case#3" dataDxfId="59"/>
  </tableColumns>
  <tableStyleInfo name="TableStyleLight2" showFirstColumn="0" showLastColumn="0" showRowStripes="1" showColumnStripes="0"/>
</table>
</file>

<file path=xl/tables/table11.xml><?xml version="1.0" encoding="utf-8"?>
<table xmlns="http://schemas.openxmlformats.org/spreadsheetml/2006/main" id="3" name="Table3" displayName="Table3" ref="M3:P7" totalsRowShown="0" headerRowDxfId="35" dataDxfId="34">
  <autoFilter ref="M3:P7"/>
  <tableColumns count="4">
    <tableColumn id="1" name="Change in WCR" dataDxfId="39"/>
    <tableColumn id="2" name="Base Case" dataDxfId="38"/>
    <tableColumn id="3" name="Case_4" dataDxfId="37"/>
    <tableColumn id="4" name="Change" dataDxfId="36"/>
  </tableColumns>
  <tableStyleInfo name="TableStyleLight2" showFirstColumn="0" showLastColumn="0" showRowStripes="1" showColumnStripes="0"/>
</table>
</file>

<file path=xl/tables/table12.xml><?xml version="1.0" encoding="utf-8"?>
<table xmlns="http://schemas.openxmlformats.org/spreadsheetml/2006/main" id="4" name="Table4" displayName="Table4" ref="B3:G25" totalsRowShown="0" headerRowDxfId="27" dataDxfId="26">
  <autoFilter ref="B3:G25"/>
  <tableColumns count="6">
    <tableColumn id="1" name="Assumptions" dataDxfId="33"/>
    <tableColumn id="2" name="2014" dataDxfId="32"/>
    <tableColumn id="3" name="2015" dataDxfId="31"/>
    <tableColumn id="4" name="2016" dataDxfId="30"/>
    <tableColumn id="5" name="2017" dataDxfId="29"/>
    <tableColumn id="6" name="2018" dataDxfId="28"/>
  </tableColumns>
  <tableStyleInfo name="TableStyleLight2" showFirstColumn="0" showLastColumn="0" showRowStripes="1" showColumnStripes="0"/>
</table>
</file>

<file path=xl/tables/table13.xml><?xml version="1.0" encoding="utf-8"?>
<table xmlns="http://schemas.openxmlformats.org/spreadsheetml/2006/main" id="16" name="Table11151617" displayName="Table11151617" ref="I3:K13" totalsRowShown="0" headerRowDxfId="44" dataDxfId="43">
  <autoFilter ref="I3:K13"/>
  <tableColumns count="3">
    <tableColumn id="1" name="Base Case Data " dataDxfId="42"/>
    <tableColumn id="2" name="Base Case" dataDxfId="41"/>
    <tableColumn id="3" name="Case#3" dataDxfId="40"/>
  </tableColumns>
  <tableStyleInfo name="TableStyleLight2" showFirstColumn="0" showLastColumn="0" showRowStripes="1" showColumnStripes="0"/>
</table>
</file>

<file path=xl/tables/table14.xml><?xml version="1.0" encoding="utf-8"?>
<table xmlns="http://schemas.openxmlformats.org/spreadsheetml/2006/main" id="17" name="Table918" displayName="Table918" ref="A2:F24" totalsRowShown="0" headerRowDxfId="25" dataDxfId="24">
  <autoFilter ref="A2:F24"/>
  <tableColumns count="6">
    <tableColumn id="1" name="Assumptions" dataDxfId="23"/>
    <tableColumn id="2" name="2014" dataDxfId="22"/>
    <tableColumn id="3" name="2015" dataDxfId="21"/>
    <tableColumn id="4" name="2016" dataDxfId="20"/>
    <tableColumn id="5" name="2017" dataDxfId="19"/>
    <tableColumn id="6" name="2018" dataDxfId="18"/>
  </tableColumns>
  <tableStyleInfo name="TableStyleLight2" showFirstColumn="0" showLastColumn="0" showRowStripes="1" showColumnStripes="0"/>
</table>
</file>

<file path=xl/tables/table15.xml><?xml version="1.0" encoding="utf-8"?>
<table xmlns="http://schemas.openxmlformats.org/spreadsheetml/2006/main" id="18" name="Table1119" displayName="Table1119" ref="H1:I14" totalsRowShown="0" headerRowDxfId="17" dataDxfId="16">
  <autoFilter ref="H1:I14"/>
  <tableColumns count="2">
    <tableColumn id="1" name="Base Case Data " dataDxfId="15"/>
    <tableColumn id="2" name="Data" dataDxfId="14"/>
  </tableColumns>
  <tableStyleInfo name="TableStyleLight2" showFirstColumn="0" showLastColumn="0" showRowStripes="1" showColumnStripes="0"/>
</table>
</file>

<file path=xl/tables/table16.xml><?xml version="1.0" encoding="utf-8"?>
<table xmlns="http://schemas.openxmlformats.org/spreadsheetml/2006/main" id="20" name="Table111921" displayName="Table111921" ref="H1:I14" totalsRowShown="0" headerRowDxfId="13" dataDxfId="12">
  <autoFilter ref="H1:I14"/>
  <tableColumns count="2">
    <tableColumn id="1" name="Base Case Data " dataDxfId="11"/>
    <tableColumn id="2" name="Data" dataDxfId="10"/>
  </tableColumns>
  <tableStyleInfo name="TableStyleLight2" showFirstColumn="0" showLastColumn="0" showRowStripes="1" showColumnStripes="0"/>
</table>
</file>

<file path=xl/tables/table17.xml><?xml version="1.0" encoding="utf-8"?>
<table xmlns="http://schemas.openxmlformats.org/spreadsheetml/2006/main" id="8" name="Table8" displayName="Table8" ref="A1:H7" totalsRowShown="0" headerRowDxfId="1" dataDxfId="0">
  <autoFilter ref="A1:H7"/>
  <tableColumns count="8">
    <tableColumn id="1" name="Summary" dataDxfId="9"/>
    <tableColumn id="2" name="Exchange Rate" dataDxfId="8"/>
    <tableColumn id="3" name="Price" dataDxfId="7"/>
    <tableColumn id="4" name="Volume" dataDxfId="6" dataCellStyle="Comma"/>
    <tableColumn id="5" name="Cost" dataDxfId="5"/>
    <tableColumn id="6" name="Valuation" dataDxfId="4"/>
    <tableColumn id="7" name="Change in Value " dataDxfId="3">
      <calculatedColumnFormula>+F2-$F$3</calculatedColumnFormula>
    </tableColumn>
    <tableColumn id="8" name="% Change" dataDxfId="2" dataCellStyle="Percent">
      <calculatedColumnFormula>+G2/$F$3</calculatedColumnFormula>
    </tableColumn>
  </tableColumns>
  <tableStyleInfo name="TableStyleMedium26" showFirstColumn="0" showLastColumn="0" showRowStripes="1" showColumnStripes="0"/>
</table>
</file>

<file path=xl/tables/table2.xml><?xml version="1.0" encoding="utf-8"?>
<table xmlns="http://schemas.openxmlformats.org/spreadsheetml/2006/main" id="11" name="Table11" displayName="Table11" ref="I1:J11" totalsRowShown="0" headerRowDxfId="77" dataDxfId="76">
  <autoFilter ref="I1:J11"/>
  <tableColumns count="2">
    <tableColumn id="1" name="Base Case Data " dataDxfId="83"/>
    <tableColumn id="2" name="Data" dataDxfId="82"/>
  </tableColumns>
  <tableStyleInfo name="TableStyleLight2" showFirstColumn="0" showLastColumn="0" showRowStripes="1" showColumnStripes="0"/>
</table>
</file>

<file path=xl/tables/table3.xml><?xml version="1.0" encoding="utf-8"?>
<table xmlns="http://schemas.openxmlformats.org/spreadsheetml/2006/main" id="5" name="Table5" displayName="Table5" ref="B2:G25" totalsRowCount="1" headerRowDxfId="106" dataDxfId="105">
  <autoFilter ref="B2:G25"/>
  <tableColumns count="6">
    <tableColumn id="1" name="Assumptions" dataDxfId="112" totalsRowDxfId="75"/>
    <tableColumn id="2" name="2014" dataDxfId="111" totalsRowDxfId="74"/>
    <tableColumn id="3" name="2015" dataDxfId="110" totalsRowDxfId="73"/>
    <tableColumn id="4" name="2016" dataDxfId="109" totalsRowDxfId="72"/>
    <tableColumn id="5" name="2017" dataDxfId="108" totalsRowDxfId="71"/>
    <tableColumn id="6" name="2018" dataDxfId="107" totalsRowDxfId="70"/>
  </tableColumns>
  <tableStyleInfo name="TableStyleLight2" showFirstColumn="0" showLastColumn="0" showRowStripes="1" showColumnStripes="0"/>
</table>
</file>

<file path=xl/tables/table4.xml><?xml version="1.0" encoding="utf-8"?>
<table xmlns="http://schemas.openxmlformats.org/spreadsheetml/2006/main" id="13" name="Table1114" displayName="Table1114" ref="I2:K12" totalsRowShown="0" headerRowDxfId="81" dataDxfId="80">
  <autoFilter ref="I2:K12"/>
  <tableColumns count="3">
    <tableColumn id="1" name="Base Case Data " dataDxfId="79"/>
    <tableColumn id="2" name="Base Case" dataDxfId="78"/>
    <tableColumn id="3" name="Case #1" dataDxfId="65"/>
  </tableColumns>
  <tableStyleInfo name="TableStyleLight2" showFirstColumn="0" showLastColumn="0" showRowStripes="1" showColumnStripes="0"/>
</table>
</file>

<file path=xl/tables/table5.xml><?xml version="1.0" encoding="utf-8"?>
<table xmlns="http://schemas.openxmlformats.org/spreadsheetml/2006/main" id="1" name="Table1" displayName="Table1" ref="M3:P8" totalsRowShown="0" headerRowDxfId="85" dataDxfId="84">
  <autoFilter ref="M3:P8"/>
  <tableColumns count="4">
    <tableColumn id="1" name="Change in WCR" dataDxfId="89"/>
    <tableColumn id="2" name="Base Case" dataDxfId="88"/>
    <tableColumn id="3" name="Case_2" dataDxfId="87"/>
    <tableColumn id="4" name="Change" dataDxfId="86"/>
  </tableColumns>
  <tableStyleInfo name="TableStyleLight2" showFirstColumn="0" showLastColumn="0" showRowStripes="1" showColumnStripes="0"/>
</table>
</file>

<file path=xl/tables/table6.xml><?xml version="1.0" encoding="utf-8"?>
<table xmlns="http://schemas.openxmlformats.org/spreadsheetml/2006/main" id="6" name="Table6" displayName="Table6" ref="B3:G25" totalsRowShown="0" headerRowDxfId="91" dataDxfId="90">
  <autoFilter ref="B3:G25"/>
  <tableColumns count="6">
    <tableColumn id="1" name="Assumptions" dataDxfId="97"/>
    <tableColumn id="2" name="2014" dataDxfId="96"/>
    <tableColumn id="3" name="2015" dataDxfId="95"/>
    <tableColumn id="4" name="2016" dataDxfId="94"/>
    <tableColumn id="5" name="2017" dataDxfId="93"/>
    <tableColumn id="6" name="2018" dataDxfId="92"/>
  </tableColumns>
  <tableStyleInfo name="TableStyleLight2" showFirstColumn="0" showLastColumn="0" showRowStripes="1" showColumnStripes="0"/>
</table>
</file>

<file path=xl/tables/table7.xml><?xml version="1.0" encoding="utf-8"?>
<table xmlns="http://schemas.openxmlformats.org/spreadsheetml/2006/main" id="14" name="Table1115" displayName="Table1115" ref="I3:K13" totalsRowShown="0" headerRowDxfId="69" dataDxfId="68">
  <autoFilter ref="I3:K13"/>
  <tableColumns count="3">
    <tableColumn id="1" name="Base Case Data " dataDxfId="67"/>
    <tableColumn id="2" name="Base Case" dataDxfId="66"/>
    <tableColumn id="3" name="Case#2" dataDxfId="64"/>
  </tableColumns>
  <tableStyleInfo name="TableStyleLight2" showFirstColumn="0" showLastColumn="0" showRowStripes="1" showColumnStripes="0"/>
</table>
</file>

<file path=xl/tables/table8.xml><?xml version="1.0" encoding="utf-8"?>
<table xmlns="http://schemas.openxmlformats.org/spreadsheetml/2006/main" id="2" name="Table2" displayName="Table2" ref="M3:P7" totalsRowShown="0" headerRowDxfId="54" dataDxfId="53">
  <autoFilter ref="M3:P7"/>
  <tableColumns count="4">
    <tableColumn id="1" name="Change in WCR" dataDxfId="58"/>
    <tableColumn id="2" name="Base Case" dataDxfId="57"/>
    <tableColumn id="3" name="Case_3" dataDxfId="56"/>
    <tableColumn id="4" name="Change" dataDxfId="55"/>
  </tableColumns>
  <tableStyleInfo name="TableStyleLight2" showFirstColumn="0" showLastColumn="0" showRowStripes="1" showColumnStripes="0"/>
</table>
</file>

<file path=xl/tables/table9.xml><?xml version="1.0" encoding="utf-8"?>
<table xmlns="http://schemas.openxmlformats.org/spreadsheetml/2006/main" id="7" name="Table7" displayName="Table7" ref="B3:G25" totalsRowShown="0" headerRowDxfId="46" dataDxfId="45">
  <autoFilter ref="B3:G25"/>
  <tableColumns count="6">
    <tableColumn id="1" name="Assumptions" dataDxfId="52"/>
    <tableColumn id="2" name="2014" dataDxfId="51"/>
    <tableColumn id="3" name="2015" dataDxfId="50"/>
    <tableColumn id="4" name="2016" dataDxfId="49"/>
    <tableColumn id="5" name="2017" dataDxfId="48"/>
    <tableColumn id="6" name="2018" dataDxfId="47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table" Target="../tables/table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7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table" Target="../tables/table9.xml"/><Relationship Id="rId1" Type="http://schemas.openxmlformats.org/officeDocument/2006/relationships/table" Target="../tables/table8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.xml"/><Relationship Id="rId2" Type="http://schemas.openxmlformats.org/officeDocument/2006/relationships/table" Target="../tables/table12.xml"/><Relationship Id="rId1" Type="http://schemas.openxmlformats.org/officeDocument/2006/relationships/table" Target="../tables/table1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table" Target="../tables/table1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4"/>
  <sheetViews>
    <sheetView workbookViewId="0">
      <selection activeCell="I1" sqref="I1:J11"/>
    </sheetView>
  </sheetViews>
  <sheetFormatPr defaultRowHeight="14.4" x14ac:dyDescent="0.3"/>
  <cols>
    <col min="2" max="2" width="21.21875" bestFit="1" customWidth="1"/>
    <col min="3" max="3" width="15.109375" bestFit="1" customWidth="1"/>
    <col min="4" max="6" width="11" bestFit="1" customWidth="1"/>
    <col min="7" max="7" width="12.5546875" bestFit="1" customWidth="1"/>
    <col min="9" max="9" width="22.44140625" bestFit="1" customWidth="1"/>
    <col min="10" max="10" width="9.33203125" bestFit="1" customWidth="1"/>
    <col min="11" max="11" width="21.33203125" bestFit="1" customWidth="1"/>
    <col min="12" max="12" width="10.109375" customWidth="1"/>
  </cols>
  <sheetData>
    <row r="1" spans="2:10" x14ac:dyDescent="0.3">
      <c r="I1" s="32" t="s">
        <v>62</v>
      </c>
      <c r="J1" s="32" t="s">
        <v>56</v>
      </c>
    </row>
    <row r="2" spans="2:10" x14ac:dyDescent="0.3">
      <c r="B2" s="8" t="s">
        <v>7</v>
      </c>
      <c r="C2" s="12" t="s">
        <v>44</v>
      </c>
      <c r="D2" s="12" t="s">
        <v>45</v>
      </c>
      <c r="E2" s="12" t="s">
        <v>46</v>
      </c>
      <c r="F2" s="12" t="s">
        <v>47</v>
      </c>
      <c r="G2" s="12" t="s">
        <v>48</v>
      </c>
      <c r="I2" s="2" t="s">
        <v>1</v>
      </c>
      <c r="J2" s="28">
        <v>1000000</v>
      </c>
    </row>
    <row r="3" spans="2:10" x14ac:dyDescent="0.3">
      <c r="B3" s="2" t="s">
        <v>1</v>
      </c>
      <c r="C3" s="15">
        <v>1000000</v>
      </c>
      <c r="D3" s="15">
        <v>1000000</v>
      </c>
      <c r="E3" s="15">
        <v>1000000</v>
      </c>
      <c r="F3" s="15">
        <v>1000000</v>
      </c>
      <c r="G3" s="15">
        <v>1000000</v>
      </c>
      <c r="I3" s="2" t="s">
        <v>60</v>
      </c>
      <c r="J3" s="29">
        <v>12.8</v>
      </c>
    </row>
    <row r="4" spans="2:10" x14ac:dyDescent="0.3">
      <c r="B4" s="2" t="s">
        <v>8</v>
      </c>
      <c r="C4" s="16">
        <v>12.8</v>
      </c>
      <c r="D4" s="16">
        <v>12.8</v>
      </c>
      <c r="E4" s="16">
        <v>12.8</v>
      </c>
      <c r="F4" s="16">
        <v>12.8</v>
      </c>
      <c r="G4" s="16">
        <v>12.8</v>
      </c>
      <c r="I4" s="2" t="s">
        <v>57</v>
      </c>
      <c r="J4" s="29">
        <v>9.6</v>
      </c>
    </row>
    <row r="5" spans="2:10" x14ac:dyDescent="0.3">
      <c r="B5" s="2" t="s">
        <v>9</v>
      </c>
      <c r="C5" s="16">
        <v>9.6</v>
      </c>
      <c r="D5" s="16">
        <v>9.6</v>
      </c>
      <c r="E5" s="16">
        <v>9.6</v>
      </c>
      <c r="F5" s="16">
        <v>9.6</v>
      </c>
      <c r="G5" s="16">
        <v>9.6</v>
      </c>
      <c r="I5" s="2" t="s">
        <v>58</v>
      </c>
      <c r="J5" s="17">
        <v>0.29499999999999998</v>
      </c>
    </row>
    <row r="6" spans="2:10" x14ac:dyDescent="0.3">
      <c r="B6" s="2" t="s">
        <v>10</v>
      </c>
      <c r="C6" s="17">
        <v>0.29499999999999998</v>
      </c>
      <c r="D6" s="17">
        <v>0.29499999999999998</v>
      </c>
      <c r="E6" s="17">
        <v>0.29499999999999998</v>
      </c>
      <c r="F6" s="17">
        <v>0.29499999999999998</v>
      </c>
      <c r="G6" s="17">
        <v>0.29499999999999998</v>
      </c>
      <c r="I6" s="2" t="s">
        <v>61</v>
      </c>
      <c r="J6" s="30">
        <v>1.1000000000000001</v>
      </c>
    </row>
    <row r="7" spans="2:10" x14ac:dyDescent="0.3">
      <c r="B7" s="2" t="s">
        <v>11</v>
      </c>
      <c r="C7" s="18">
        <v>1.2</v>
      </c>
      <c r="D7" s="18">
        <v>1.2</v>
      </c>
      <c r="E7" s="18">
        <v>1.2</v>
      </c>
      <c r="F7" s="18">
        <v>1.2</v>
      </c>
      <c r="G7" s="18">
        <v>1.2</v>
      </c>
      <c r="I7" s="2" t="s">
        <v>59</v>
      </c>
      <c r="J7" s="31">
        <v>0.03</v>
      </c>
    </row>
    <row r="8" spans="2:10" x14ac:dyDescent="0.3">
      <c r="B8" s="2"/>
      <c r="C8" s="2"/>
      <c r="D8" s="2"/>
      <c r="E8" s="2"/>
      <c r="F8" s="2"/>
      <c r="G8" s="2"/>
      <c r="I8" s="2" t="s">
        <v>54</v>
      </c>
      <c r="J8" s="31">
        <v>0.15</v>
      </c>
    </row>
    <row r="9" spans="2:10" x14ac:dyDescent="0.3">
      <c r="B9" s="6" t="s">
        <v>12</v>
      </c>
      <c r="C9" s="6">
        <v>2014</v>
      </c>
      <c r="D9" s="6">
        <v>2015</v>
      </c>
      <c r="E9" s="6">
        <v>2016</v>
      </c>
      <c r="F9" s="6">
        <v>2017</v>
      </c>
      <c r="G9" s="6">
        <v>2018</v>
      </c>
      <c r="I9" s="2" t="s">
        <v>51</v>
      </c>
      <c r="J9" s="2">
        <v>45</v>
      </c>
    </row>
    <row r="10" spans="2:10" x14ac:dyDescent="0.3">
      <c r="B10" s="2" t="s">
        <v>2</v>
      </c>
      <c r="C10" s="15">
        <f>+C3*C4</f>
        <v>12800000</v>
      </c>
      <c r="D10" s="15">
        <f t="shared" ref="D10:G10" si="0">+D3*D4</f>
        <v>12800000</v>
      </c>
      <c r="E10" s="15">
        <f t="shared" si="0"/>
        <v>12800000</v>
      </c>
      <c r="F10" s="15">
        <f t="shared" si="0"/>
        <v>12800000</v>
      </c>
      <c r="G10" s="15">
        <f t="shared" si="0"/>
        <v>12800000</v>
      </c>
      <c r="I10" s="2" t="s">
        <v>52</v>
      </c>
      <c r="J10" s="2">
        <v>10</v>
      </c>
    </row>
    <row r="11" spans="2:10" x14ac:dyDescent="0.3">
      <c r="B11" s="2" t="s">
        <v>3</v>
      </c>
      <c r="C11" s="15">
        <f>-C3*C5</f>
        <v>-9600000</v>
      </c>
      <c r="D11" s="15">
        <f t="shared" ref="D11:G11" si="1">-D3*D5</f>
        <v>-9600000</v>
      </c>
      <c r="E11" s="15">
        <f t="shared" si="1"/>
        <v>-9600000</v>
      </c>
      <c r="F11" s="15">
        <f t="shared" si="1"/>
        <v>-9600000</v>
      </c>
      <c r="G11" s="15">
        <f t="shared" si="1"/>
        <v>-9600000</v>
      </c>
      <c r="I11" s="2" t="s">
        <v>53</v>
      </c>
      <c r="J11" s="2">
        <v>38</v>
      </c>
    </row>
    <row r="12" spans="2:10" x14ac:dyDescent="0.3">
      <c r="B12" s="2" t="s">
        <v>4</v>
      </c>
      <c r="C12" s="15">
        <v>-890000</v>
      </c>
      <c r="D12" s="15">
        <v>-890000</v>
      </c>
      <c r="E12" s="15">
        <v>-890000</v>
      </c>
      <c r="F12" s="15">
        <v>-890000</v>
      </c>
      <c r="G12" s="15">
        <v>-890000</v>
      </c>
    </row>
    <row r="13" spans="2:10" x14ac:dyDescent="0.3">
      <c r="B13" s="2" t="s">
        <v>5</v>
      </c>
      <c r="C13" s="15">
        <v>-600000</v>
      </c>
      <c r="D13" s="15">
        <v>-600000</v>
      </c>
      <c r="E13" s="15">
        <v>-600000</v>
      </c>
      <c r="F13" s="15">
        <v>-600000</v>
      </c>
      <c r="G13" s="15">
        <v>-600000</v>
      </c>
    </row>
    <row r="14" spans="2:10" x14ac:dyDescent="0.3">
      <c r="B14" s="2" t="s">
        <v>6</v>
      </c>
      <c r="C14" s="15">
        <f>SUM(C10:C13)</f>
        <v>1710000</v>
      </c>
      <c r="D14" s="15">
        <f t="shared" ref="D14:G14" si="2">SUM(D10:D13)</f>
        <v>1710000</v>
      </c>
      <c r="E14" s="15">
        <f t="shared" si="2"/>
        <v>1710000</v>
      </c>
      <c r="F14" s="15">
        <f t="shared" si="2"/>
        <v>1710000</v>
      </c>
      <c r="G14" s="15">
        <f t="shared" si="2"/>
        <v>1710000</v>
      </c>
    </row>
    <row r="15" spans="2:10" x14ac:dyDescent="0.3">
      <c r="B15" s="2" t="s">
        <v>13</v>
      </c>
      <c r="C15" s="15">
        <f>-C14*C6</f>
        <v>-504450</v>
      </c>
      <c r="D15" s="15">
        <f t="shared" ref="D15:G15" si="3">-D14*D6</f>
        <v>-504450</v>
      </c>
      <c r="E15" s="15">
        <f t="shared" si="3"/>
        <v>-504450</v>
      </c>
      <c r="F15" s="15">
        <f t="shared" si="3"/>
        <v>-504450</v>
      </c>
      <c r="G15" s="15">
        <f t="shared" si="3"/>
        <v>-504450</v>
      </c>
    </row>
    <row r="16" spans="2:10" x14ac:dyDescent="0.3">
      <c r="B16" s="2" t="s">
        <v>14</v>
      </c>
      <c r="C16" s="15">
        <f>+C14+C15</f>
        <v>1205550</v>
      </c>
      <c r="D16" s="15">
        <f t="shared" ref="D16:G16" si="4">+D14+D15</f>
        <v>1205550</v>
      </c>
      <c r="E16" s="15">
        <f t="shared" si="4"/>
        <v>1205550</v>
      </c>
      <c r="F16" s="15">
        <f t="shared" si="4"/>
        <v>1205550</v>
      </c>
      <c r="G16" s="15">
        <f t="shared" si="4"/>
        <v>1205550</v>
      </c>
    </row>
    <row r="17" spans="2:13" x14ac:dyDescent="0.3">
      <c r="B17" s="6" t="s">
        <v>15</v>
      </c>
      <c r="C17" s="6">
        <v>2014</v>
      </c>
      <c r="D17" s="6">
        <v>2015</v>
      </c>
      <c r="E17" s="6">
        <v>2016</v>
      </c>
      <c r="F17" s="6">
        <v>2017</v>
      </c>
      <c r="G17" s="6">
        <v>2018</v>
      </c>
    </row>
    <row r="18" spans="2:13" x14ac:dyDescent="0.3">
      <c r="B18" s="2" t="s">
        <v>14</v>
      </c>
      <c r="C18" s="15">
        <f>+C16</f>
        <v>1205550</v>
      </c>
      <c r="D18" s="15">
        <f t="shared" ref="D18:G18" si="5">+D16</f>
        <v>1205550</v>
      </c>
      <c r="E18" s="15">
        <f t="shared" si="5"/>
        <v>1205550</v>
      </c>
      <c r="F18" s="15">
        <f t="shared" si="5"/>
        <v>1205550</v>
      </c>
      <c r="G18" s="15">
        <f t="shared" si="5"/>
        <v>1205550</v>
      </c>
      <c r="L18" s="27"/>
      <c r="M18" s="27"/>
    </row>
    <row r="19" spans="2:13" x14ac:dyDescent="0.3">
      <c r="B19" s="2" t="s">
        <v>16</v>
      </c>
      <c r="C19" s="15">
        <f>-C13</f>
        <v>600000</v>
      </c>
      <c r="D19" s="15">
        <f t="shared" ref="D19:G19" si="6">-D13</f>
        <v>600000</v>
      </c>
      <c r="E19" s="15">
        <f t="shared" si="6"/>
        <v>600000</v>
      </c>
      <c r="F19" s="15">
        <f t="shared" si="6"/>
        <v>600000</v>
      </c>
      <c r="G19" s="15">
        <f t="shared" si="6"/>
        <v>600000</v>
      </c>
      <c r="L19" s="27"/>
      <c r="M19" s="27"/>
    </row>
    <row r="20" spans="2:13" x14ac:dyDescent="0.3">
      <c r="B20" s="2" t="s">
        <v>17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L20" s="27"/>
      <c r="M20" s="27"/>
    </row>
    <row r="21" spans="2:13" x14ac:dyDescent="0.3">
      <c r="B21" s="2" t="s">
        <v>18</v>
      </c>
      <c r="C21" s="19">
        <f>+C18+C19</f>
        <v>1805550</v>
      </c>
      <c r="D21" s="19">
        <f t="shared" ref="D21:G21" si="7">+D18+D19</f>
        <v>1805550</v>
      </c>
      <c r="E21" s="19">
        <f t="shared" si="7"/>
        <v>1805550</v>
      </c>
      <c r="F21" s="19">
        <f t="shared" si="7"/>
        <v>1805550</v>
      </c>
      <c r="G21" s="19">
        <f t="shared" si="7"/>
        <v>1805550</v>
      </c>
    </row>
    <row r="22" spans="2:13" x14ac:dyDescent="0.3">
      <c r="B22" s="2" t="s">
        <v>19</v>
      </c>
      <c r="C22" s="15">
        <f>+C21*C7</f>
        <v>2166660</v>
      </c>
      <c r="D22" s="15">
        <f t="shared" ref="D22:G22" si="8">+D21*D7</f>
        <v>2166660</v>
      </c>
      <c r="E22" s="15">
        <f t="shared" si="8"/>
        <v>2166660</v>
      </c>
      <c r="F22" s="15">
        <f t="shared" si="8"/>
        <v>2166660</v>
      </c>
      <c r="G22" s="15">
        <f t="shared" si="8"/>
        <v>2166660</v>
      </c>
    </row>
    <row r="23" spans="2:13" x14ac:dyDescent="0.3">
      <c r="B23" s="2" t="s">
        <v>49</v>
      </c>
      <c r="C23" s="15"/>
      <c r="D23" s="15"/>
      <c r="E23" s="15"/>
      <c r="F23" s="15"/>
      <c r="G23" s="15">
        <f>+G22*(1+$J$7)/(J8-J7)</f>
        <v>18597165.000000004</v>
      </c>
    </row>
    <row r="24" spans="2:13" x14ac:dyDescent="0.3">
      <c r="B24" s="10" t="s">
        <v>55</v>
      </c>
      <c r="C24" s="11">
        <f>NPV(0.15,C22:G22)+PV(0.15,5,0,-G23)</f>
        <v>16509058.14516101</v>
      </c>
      <c r="D24" s="10"/>
      <c r="E24" s="10"/>
      <c r="F24" s="10"/>
      <c r="G24" s="10"/>
    </row>
  </sheetData>
  <pageMargins left="0.7" right="0.7" top="0.75" bottom="0.75" header="0.3" footer="0.3"/>
  <pageSetup orientation="portrait" horizontalDpi="0" verticalDpi="0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5"/>
  <sheetViews>
    <sheetView workbookViewId="0">
      <selection activeCell="B2" sqref="B2:G24"/>
    </sheetView>
  </sheetViews>
  <sheetFormatPr defaultRowHeight="14.4" x14ac:dyDescent="0.3"/>
  <cols>
    <col min="2" max="2" width="27.6640625" bestFit="1" customWidth="1"/>
    <col min="3" max="3" width="13.44140625" bestFit="1" customWidth="1"/>
    <col min="4" max="7" width="11" bestFit="1" customWidth="1"/>
    <col min="9" max="9" width="22.44140625" bestFit="1" customWidth="1"/>
    <col min="10" max="10" width="11" customWidth="1"/>
    <col min="11" max="11" width="12.109375" customWidth="1"/>
  </cols>
  <sheetData>
    <row r="2" spans="2:11" x14ac:dyDescent="0.3">
      <c r="B2" s="6" t="s">
        <v>7</v>
      </c>
      <c r="C2" s="6" t="s">
        <v>44</v>
      </c>
      <c r="D2" s="6" t="s">
        <v>45</v>
      </c>
      <c r="E2" s="6" t="s">
        <v>46</v>
      </c>
      <c r="F2" s="6" t="s">
        <v>47</v>
      </c>
      <c r="G2" s="6" t="s">
        <v>48</v>
      </c>
      <c r="I2" s="32" t="s">
        <v>62</v>
      </c>
      <c r="J2" s="32" t="s">
        <v>0</v>
      </c>
      <c r="K2" s="32" t="s">
        <v>63</v>
      </c>
    </row>
    <row r="3" spans="2:11" x14ac:dyDescent="0.3">
      <c r="B3" s="2" t="s">
        <v>1</v>
      </c>
      <c r="C3" s="15">
        <v>1000000</v>
      </c>
      <c r="D3" s="15">
        <v>1000000</v>
      </c>
      <c r="E3" s="15">
        <v>1000000</v>
      </c>
      <c r="F3" s="15">
        <v>1000000</v>
      </c>
      <c r="G3" s="15">
        <v>1000000</v>
      </c>
      <c r="I3" s="2" t="s">
        <v>1</v>
      </c>
      <c r="J3" s="28">
        <v>1000000</v>
      </c>
      <c r="K3" s="28">
        <v>1000000</v>
      </c>
    </row>
    <row r="4" spans="2:11" x14ac:dyDescent="0.3">
      <c r="B4" s="2" t="s">
        <v>8</v>
      </c>
      <c r="C4" s="16">
        <v>12.8</v>
      </c>
      <c r="D4" s="16">
        <v>12.8</v>
      </c>
      <c r="E4" s="16">
        <v>12.8</v>
      </c>
      <c r="F4" s="16">
        <v>12.8</v>
      </c>
      <c r="G4" s="16">
        <v>12.8</v>
      </c>
      <c r="I4" s="2" t="s">
        <v>60</v>
      </c>
      <c r="J4" s="29">
        <v>12.8</v>
      </c>
      <c r="K4" s="29">
        <v>12.8</v>
      </c>
    </row>
    <row r="5" spans="2:11" x14ac:dyDescent="0.3">
      <c r="B5" s="2" t="s">
        <v>9</v>
      </c>
      <c r="C5" s="16">
        <v>9.6</v>
      </c>
      <c r="D5" s="16">
        <v>9.6</v>
      </c>
      <c r="E5" s="16">
        <v>9.6</v>
      </c>
      <c r="F5" s="16">
        <v>9.6</v>
      </c>
      <c r="G5" s="16">
        <v>9.6</v>
      </c>
      <c r="I5" s="2" t="s">
        <v>57</v>
      </c>
      <c r="J5" s="29">
        <v>9.6</v>
      </c>
      <c r="K5" s="29">
        <v>9.6</v>
      </c>
    </row>
    <row r="6" spans="2:11" x14ac:dyDescent="0.3">
      <c r="B6" s="2" t="s">
        <v>10</v>
      </c>
      <c r="C6" s="17">
        <v>0.29499999999999998</v>
      </c>
      <c r="D6" s="17">
        <v>0.29499999999999998</v>
      </c>
      <c r="E6" s="17">
        <v>0.29499999999999998</v>
      </c>
      <c r="F6" s="17">
        <v>0.29499999999999998</v>
      </c>
      <c r="G6" s="17">
        <v>0.29499999999999998</v>
      </c>
      <c r="I6" s="2" t="s">
        <v>58</v>
      </c>
      <c r="J6" s="17">
        <v>0.29499999999999998</v>
      </c>
      <c r="K6" s="17">
        <v>0.29499999999999998</v>
      </c>
    </row>
    <row r="7" spans="2:11" x14ac:dyDescent="0.3">
      <c r="B7" s="2" t="s">
        <v>11</v>
      </c>
      <c r="C7" s="18">
        <v>1</v>
      </c>
      <c r="D7" s="18">
        <v>1</v>
      </c>
      <c r="E7" s="18">
        <v>1</v>
      </c>
      <c r="F7" s="18">
        <v>1</v>
      </c>
      <c r="G7" s="18">
        <v>1</v>
      </c>
      <c r="I7" s="2" t="s">
        <v>61</v>
      </c>
      <c r="J7" s="36">
        <v>1.2</v>
      </c>
      <c r="K7" s="36">
        <v>1</v>
      </c>
    </row>
    <row r="8" spans="2:11" x14ac:dyDescent="0.3">
      <c r="B8" s="2"/>
      <c r="C8" s="2"/>
      <c r="D8" s="2"/>
      <c r="E8" s="2"/>
      <c r="F8" s="2"/>
      <c r="G8" s="2"/>
      <c r="I8" s="2" t="s">
        <v>59</v>
      </c>
      <c r="J8" s="31">
        <v>0.03</v>
      </c>
      <c r="K8" s="31">
        <v>0.03</v>
      </c>
    </row>
    <row r="9" spans="2:11" x14ac:dyDescent="0.3">
      <c r="B9" s="6" t="s">
        <v>12</v>
      </c>
      <c r="C9" s="6">
        <v>2014</v>
      </c>
      <c r="D9" s="6">
        <v>2015</v>
      </c>
      <c r="E9" s="6">
        <v>2016</v>
      </c>
      <c r="F9" s="6">
        <v>2017</v>
      </c>
      <c r="G9" s="6">
        <v>2018</v>
      </c>
      <c r="I9" s="2" t="s">
        <v>54</v>
      </c>
      <c r="J9" s="31">
        <v>0.15</v>
      </c>
      <c r="K9" s="31">
        <v>0.15</v>
      </c>
    </row>
    <row r="10" spans="2:11" x14ac:dyDescent="0.3">
      <c r="B10" s="2" t="s">
        <v>2</v>
      </c>
      <c r="C10" s="15">
        <f>+C3*C4</f>
        <v>12800000</v>
      </c>
      <c r="D10" s="15">
        <f t="shared" ref="D10:G10" si="0">+D3*D4</f>
        <v>12800000</v>
      </c>
      <c r="E10" s="15">
        <f t="shared" si="0"/>
        <v>12800000</v>
      </c>
      <c r="F10" s="15">
        <f t="shared" si="0"/>
        <v>12800000</v>
      </c>
      <c r="G10" s="15">
        <f t="shared" si="0"/>
        <v>12800000</v>
      </c>
      <c r="I10" s="2" t="s">
        <v>51</v>
      </c>
      <c r="J10" s="2">
        <v>45</v>
      </c>
      <c r="K10" s="2">
        <v>45</v>
      </c>
    </row>
    <row r="11" spans="2:11" x14ac:dyDescent="0.3">
      <c r="B11" s="2" t="s">
        <v>3</v>
      </c>
      <c r="C11" s="15">
        <f>-C3*C5</f>
        <v>-9600000</v>
      </c>
      <c r="D11" s="15">
        <f t="shared" ref="D11:G11" si="1">-D3*D5</f>
        <v>-9600000</v>
      </c>
      <c r="E11" s="15">
        <f t="shared" si="1"/>
        <v>-9600000</v>
      </c>
      <c r="F11" s="15">
        <f t="shared" si="1"/>
        <v>-9600000</v>
      </c>
      <c r="G11" s="15">
        <f t="shared" si="1"/>
        <v>-9600000</v>
      </c>
      <c r="I11" s="2" t="s">
        <v>52</v>
      </c>
      <c r="J11" s="2">
        <v>10</v>
      </c>
      <c r="K11" s="2">
        <v>10</v>
      </c>
    </row>
    <row r="12" spans="2:11" x14ac:dyDescent="0.3">
      <c r="B12" s="2" t="s">
        <v>4</v>
      </c>
      <c r="C12" s="15">
        <v>-890000</v>
      </c>
      <c r="D12" s="15">
        <v>-890000</v>
      </c>
      <c r="E12" s="15">
        <v>-890000</v>
      </c>
      <c r="F12" s="15">
        <v>-890000</v>
      </c>
      <c r="G12" s="15">
        <v>-890000</v>
      </c>
      <c r="I12" s="2" t="s">
        <v>53</v>
      </c>
      <c r="J12" s="2">
        <v>38</v>
      </c>
      <c r="K12" s="2">
        <v>38</v>
      </c>
    </row>
    <row r="13" spans="2:11" x14ac:dyDescent="0.3">
      <c r="B13" s="2" t="s">
        <v>5</v>
      </c>
      <c r="C13" s="15">
        <v>-600000</v>
      </c>
      <c r="D13" s="15">
        <v>-600000</v>
      </c>
      <c r="E13" s="15">
        <v>-600000</v>
      </c>
      <c r="F13" s="15">
        <v>-600000</v>
      </c>
      <c r="G13" s="15">
        <v>-600000</v>
      </c>
    </row>
    <row r="14" spans="2:11" x14ac:dyDescent="0.3">
      <c r="B14" s="2" t="s">
        <v>6</v>
      </c>
      <c r="C14" s="15">
        <f>SUM(C10:C13)</f>
        <v>1710000</v>
      </c>
      <c r="D14" s="15">
        <f t="shared" ref="D14:G14" si="2">SUM(D10:D13)</f>
        <v>1710000</v>
      </c>
      <c r="E14" s="15">
        <f t="shared" si="2"/>
        <v>1710000</v>
      </c>
      <c r="F14" s="15">
        <f t="shared" si="2"/>
        <v>1710000</v>
      </c>
      <c r="G14" s="15">
        <f t="shared" si="2"/>
        <v>1710000</v>
      </c>
    </row>
    <row r="15" spans="2:11" x14ac:dyDescent="0.3">
      <c r="B15" s="2" t="s">
        <v>13</v>
      </c>
      <c r="C15" s="15">
        <f>-C14*C6</f>
        <v>-504450</v>
      </c>
      <c r="D15" s="15">
        <f t="shared" ref="D15:G15" si="3">-D14*D6</f>
        <v>-504450</v>
      </c>
      <c r="E15" s="15">
        <f t="shared" si="3"/>
        <v>-504450</v>
      </c>
      <c r="F15" s="15">
        <f t="shared" si="3"/>
        <v>-504450</v>
      </c>
      <c r="G15" s="15">
        <f t="shared" si="3"/>
        <v>-504450</v>
      </c>
    </row>
    <row r="16" spans="2:11" x14ac:dyDescent="0.3">
      <c r="B16" s="2" t="s">
        <v>14</v>
      </c>
      <c r="C16" s="15">
        <f>+C14+C15</f>
        <v>1205550</v>
      </c>
      <c r="D16" s="15">
        <f t="shared" ref="D16:G16" si="4">+D14+D15</f>
        <v>1205550</v>
      </c>
      <c r="E16" s="15">
        <f t="shared" si="4"/>
        <v>1205550</v>
      </c>
      <c r="F16" s="15">
        <f t="shared" si="4"/>
        <v>1205550</v>
      </c>
      <c r="G16" s="15">
        <f t="shared" si="4"/>
        <v>1205550</v>
      </c>
    </row>
    <row r="17" spans="2:7" x14ac:dyDescent="0.3">
      <c r="B17" s="6" t="s">
        <v>15</v>
      </c>
      <c r="C17" s="15"/>
      <c r="D17" s="15"/>
      <c r="E17" s="15"/>
      <c r="F17" s="15"/>
      <c r="G17" s="15"/>
    </row>
    <row r="18" spans="2:7" x14ac:dyDescent="0.3">
      <c r="B18" s="2" t="s">
        <v>14</v>
      </c>
      <c r="C18" s="15">
        <f>+C16</f>
        <v>1205550</v>
      </c>
      <c r="D18" s="15">
        <f t="shared" ref="D18:G18" si="5">+D16</f>
        <v>1205550</v>
      </c>
      <c r="E18" s="15">
        <f t="shared" si="5"/>
        <v>1205550</v>
      </c>
      <c r="F18" s="15">
        <f t="shared" si="5"/>
        <v>1205550</v>
      </c>
      <c r="G18" s="15">
        <f t="shared" si="5"/>
        <v>1205550</v>
      </c>
    </row>
    <row r="19" spans="2:7" x14ac:dyDescent="0.3">
      <c r="B19" s="2" t="s">
        <v>16</v>
      </c>
      <c r="C19" s="15">
        <f>-C13</f>
        <v>600000</v>
      </c>
      <c r="D19" s="15">
        <f t="shared" ref="D19:G19" si="6">-D13</f>
        <v>600000</v>
      </c>
      <c r="E19" s="15">
        <f t="shared" si="6"/>
        <v>600000</v>
      </c>
      <c r="F19" s="15">
        <f t="shared" si="6"/>
        <v>600000</v>
      </c>
      <c r="G19" s="15">
        <f t="shared" si="6"/>
        <v>600000</v>
      </c>
    </row>
    <row r="20" spans="2:7" x14ac:dyDescent="0.3">
      <c r="B20" s="2" t="s">
        <v>17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</row>
    <row r="21" spans="2:7" x14ac:dyDescent="0.3">
      <c r="B21" s="2" t="s">
        <v>18</v>
      </c>
      <c r="C21" s="19">
        <f>+C18+C19</f>
        <v>1805550</v>
      </c>
      <c r="D21" s="19">
        <f t="shared" ref="D21:G21" si="7">+D18+D19</f>
        <v>1805550</v>
      </c>
      <c r="E21" s="19">
        <f t="shared" si="7"/>
        <v>1805550</v>
      </c>
      <c r="F21" s="19">
        <f t="shared" si="7"/>
        <v>1805550</v>
      </c>
      <c r="G21" s="19">
        <f t="shared" si="7"/>
        <v>1805550</v>
      </c>
    </row>
    <row r="22" spans="2:7" x14ac:dyDescent="0.3">
      <c r="B22" s="2" t="s">
        <v>19</v>
      </c>
      <c r="C22" s="15">
        <f>+C21*C7</f>
        <v>1805550</v>
      </c>
      <c r="D22" s="15">
        <f t="shared" ref="D22:G22" si="8">+D21*D7</f>
        <v>1805550</v>
      </c>
      <c r="E22" s="15">
        <f t="shared" si="8"/>
        <v>1805550</v>
      </c>
      <c r="F22" s="15">
        <f t="shared" si="8"/>
        <v>1805550</v>
      </c>
      <c r="G22" s="15">
        <f t="shared" si="8"/>
        <v>1805550</v>
      </c>
    </row>
    <row r="23" spans="2:7" x14ac:dyDescent="0.3">
      <c r="B23" s="2" t="s">
        <v>49</v>
      </c>
      <c r="C23" s="15"/>
      <c r="D23" s="15"/>
      <c r="E23" s="15"/>
      <c r="F23" s="15"/>
      <c r="G23" s="15">
        <f>+G22*(1+'Base Case'!$J$7)/('Base Case'!$J$8-'Base Case'!$J$7)</f>
        <v>15497637.5</v>
      </c>
    </row>
    <row r="24" spans="2:7" x14ac:dyDescent="0.3">
      <c r="B24" s="10" t="s">
        <v>55</v>
      </c>
      <c r="C24" s="5">
        <f>NPV(0.15,C22:G22)+PV(Case_1!J9,5,0,-Case_1!G23)</f>
        <v>13757548.454300839</v>
      </c>
      <c r="D24" s="2"/>
      <c r="E24" s="2"/>
      <c r="F24" s="2"/>
      <c r="G24" s="2"/>
    </row>
    <row r="25" spans="2:7" x14ac:dyDescent="0.3">
      <c r="B25" s="2"/>
      <c r="C25" s="24"/>
      <c r="D25" s="2"/>
      <c r="E25" s="2"/>
      <c r="F25" s="2"/>
      <c r="G25" s="2"/>
    </row>
  </sheetData>
  <pageMargins left="0.7" right="0.7" top="0.75" bottom="0.75" header="0.3" footer="0.3"/>
  <tableParts count="2">
    <tablePart r:id="rId1"/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25"/>
  <sheetViews>
    <sheetView workbookViewId="0">
      <selection activeCell="M3" sqref="M3:P8"/>
    </sheetView>
  </sheetViews>
  <sheetFormatPr defaultRowHeight="14.4" x14ac:dyDescent="0.3"/>
  <cols>
    <col min="2" max="2" width="27.6640625" bestFit="1" customWidth="1"/>
    <col min="3" max="7" width="11.6640625" bestFit="1" customWidth="1"/>
    <col min="9" max="9" width="22.44140625" customWidth="1"/>
    <col min="10" max="10" width="9.33203125" customWidth="1"/>
    <col min="11" max="11" width="12.6640625" bestFit="1" customWidth="1"/>
    <col min="12" max="12" width="4.5546875" customWidth="1"/>
    <col min="13" max="13" width="16.109375" bestFit="1" customWidth="1"/>
    <col min="14" max="14" width="11.44140625" bestFit="1" customWidth="1"/>
    <col min="15" max="15" width="10" bestFit="1" customWidth="1"/>
    <col min="16" max="16" width="9.5546875" bestFit="1" customWidth="1"/>
  </cols>
  <sheetData>
    <row r="3" spans="2:16" x14ac:dyDescent="0.3">
      <c r="B3" s="6" t="s">
        <v>7</v>
      </c>
      <c r="C3" s="6" t="s">
        <v>44</v>
      </c>
      <c r="D3" s="6" t="s">
        <v>45</v>
      </c>
      <c r="E3" s="6" t="s">
        <v>46</v>
      </c>
      <c r="F3" s="6" t="s">
        <v>47</v>
      </c>
      <c r="G3" s="6" t="s">
        <v>48</v>
      </c>
      <c r="I3" s="32" t="s">
        <v>62</v>
      </c>
      <c r="J3" s="32" t="s">
        <v>0</v>
      </c>
      <c r="K3" s="32" t="s">
        <v>64</v>
      </c>
      <c r="L3" s="32"/>
      <c r="M3" s="2" t="s">
        <v>21</v>
      </c>
      <c r="N3" s="2" t="s">
        <v>0</v>
      </c>
      <c r="O3" s="2" t="s">
        <v>42</v>
      </c>
      <c r="P3" s="2" t="s">
        <v>26</v>
      </c>
    </row>
    <row r="4" spans="2:16" x14ac:dyDescent="0.3">
      <c r="B4" s="2" t="s">
        <v>1</v>
      </c>
      <c r="C4" s="15">
        <v>1400000</v>
      </c>
      <c r="D4" s="15">
        <v>1400000</v>
      </c>
      <c r="E4" s="15">
        <v>1400000</v>
      </c>
      <c r="F4" s="15">
        <v>1400000</v>
      </c>
      <c r="G4" s="15">
        <v>1400000</v>
      </c>
      <c r="I4" s="2" t="s">
        <v>1</v>
      </c>
      <c r="J4" s="28">
        <v>1000000</v>
      </c>
      <c r="K4" s="28">
        <v>1400000</v>
      </c>
      <c r="L4" s="28"/>
      <c r="M4" s="2" t="s">
        <v>22</v>
      </c>
      <c r="N4" s="15">
        <f>+(Case_1!C10/365)*45</f>
        <v>1578082.1917808219</v>
      </c>
      <c r="O4" s="15">
        <f>+(C11/365)*45</f>
        <v>2209315.0684931506</v>
      </c>
      <c r="P4" s="19">
        <f>+(O4-N4)</f>
        <v>631232.87671232875</v>
      </c>
    </row>
    <row r="5" spans="2:16" x14ac:dyDescent="0.3">
      <c r="B5" s="2" t="s">
        <v>8</v>
      </c>
      <c r="C5" s="16">
        <v>12.8</v>
      </c>
      <c r="D5" s="16">
        <v>12.8</v>
      </c>
      <c r="E5" s="16">
        <v>12.8</v>
      </c>
      <c r="F5" s="16">
        <v>12.8</v>
      </c>
      <c r="G5" s="16">
        <v>12.8</v>
      </c>
      <c r="I5" s="2" t="s">
        <v>60</v>
      </c>
      <c r="J5" s="29">
        <v>12.8</v>
      </c>
      <c r="K5" s="29">
        <v>12.8</v>
      </c>
      <c r="L5" s="29"/>
      <c r="M5" s="2" t="s">
        <v>23</v>
      </c>
      <c r="N5" s="19">
        <f>-(Case_1!C11/365)*10</f>
        <v>263013.69863013696</v>
      </c>
      <c r="O5" s="19">
        <f>-(C12/365)*10</f>
        <v>368219.17808219179</v>
      </c>
      <c r="P5" s="19">
        <f t="shared" ref="P5:P6" si="0">+(O5-N5)</f>
        <v>105205.47945205483</v>
      </c>
    </row>
    <row r="6" spans="2:16" x14ac:dyDescent="0.3">
      <c r="B6" s="2" t="s">
        <v>9</v>
      </c>
      <c r="C6" s="16">
        <v>9.6</v>
      </c>
      <c r="D6" s="16">
        <v>9.6</v>
      </c>
      <c r="E6" s="16">
        <v>9.6</v>
      </c>
      <c r="F6" s="16">
        <v>9.6</v>
      </c>
      <c r="G6" s="16">
        <v>9.6</v>
      </c>
      <c r="I6" s="2" t="s">
        <v>57</v>
      </c>
      <c r="J6" s="29">
        <v>9.6</v>
      </c>
      <c r="K6" s="29">
        <v>9.6</v>
      </c>
      <c r="L6" s="29"/>
      <c r="M6" s="2" t="s">
        <v>24</v>
      </c>
      <c r="N6" s="15">
        <f>-(Case_1!C11/365)*38</f>
        <v>999452.05479452049</v>
      </c>
      <c r="O6" s="19">
        <f>-(C12/365)*38</f>
        <v>1399232.8767123288</v>
      </c>
      <c r="P6" s="19">
        <f t="shared" si="0"/>
        <v>399780.82191780827</v>
      </c>
    </row>
    <row r="7" spans="2:16" x14ac:dyDescent="0.3">
      <c r="B7" s="2" t="s">
        <v>10</v>
      </c>
      <c r="C7" s="17">
        <v>0.29499999999999998</v>
      </c>
      <c r="D7" s="17">
        <v>0.29499999999999998</v>
      </c>
      <c r="E7" s="17">
        <v>0.29499999999999998</v>
      </c>
      <c r="F7" s="17">
        <v>0.29499999999999998</v>
      </c>
      <c r="G7" s="17">
        <v>0.29499999999999998</v>
      </c>
      <c r="I7" s="2" t="s">
        <v>58</v>
      </c>
      <c r="J7" s="17">
        <v>0.29499999999999998</v>
      </c>
      <c r="K7" s="17">
        <v>0.29499999999999998</v>
      </c>
      <c r="L7" s="17"/>
      <c r="M7" s="2" t="s">
        <v>50</v>
      </c>
      <c r="N7" s="19">
        <f>+N4+N5-N6</f>
        <v>841643.8356164383</v>
      </c>
      <c r="O7" s="19">
        <f>+O4+O5-O6</f>
        <v>1178301.3698630137</v>
      </c>
      <c r="P7" s="19">
        <f>+Table1[[#This Row],[Case_2]]-Table1[[#This Row],[Base Case]]</f>
        <v>336657.53424657544</v>
      </c>
    </row>
    <row r="8" spans="2:16" x14ac:dyDescent="0.3">
      <c r="B8" s="2" t="s">
        <v>11</v>
      </c>
      <c r="C8" s="18">
        <v>1</v>
      </c>
      <c r="D8" s="18">
        <v>1</v>
      </c>
      <c r="E8" s="18">
        <v>1</v>
      </c>
      <c r="F8" s="18">
        <v>1</v>
      </c>
      <c r="G8" s="18">
        <v>1</v>
      </c>
      <c r="I8" s="2" t="s">
        <v>61</v>
      </c>
      <c r="J8" s="30">
        <v>1.2</v>
      </c>
      <c r="K8" s="30">
        <v>1</v>
      </c>
      <c r="L8" s="30"/>
      <c r="M8" s="4" t="s">
        <v>25</v>
      </c>
      <c r="N8" s="26">
        <v>0</v>
      </c>
      <c r="O8" s="26"/>
      <c r="P8" s="26">
        <f>+(P4+P5-P6)</f>
        <v>336657.53424657532</v>
      </c>
    </row>
    <row r="9" spans="2:16" x14ac:dyDescent="0.3">
      <c r="B9" s="2"/>
      <c r="C9" s="2"/>
      <c r="D9" s="2"/>
      <c r="E9" s="2"/>
      <c r="F9" s="2"/>
      <c r="G9" s="2"/>
      <c r="I9" s="2" t="s">
        <v>59</v>
      </c>
      <c r="J9" s="31">
        <v>0.03</v>
      </c>
      <c r="K9" s="31">
        <v>0.03</v>
      </c>
      <c r="L9" s="31"/>
    </row>
    <row r="10" spans="2:16" x14ac:dyDescent="0.3">
      <c r="B10" s="6" t="s">
        <v>12</v>
      </c>
      <c r="C10" s="6">
        <v>2014</v>
      </c>
      <c r="D10" s="6">
        <v>2015</v>
      </c>
      <c r="E10" s="6">
        <v>2016</v>
      </c>
      <c r="F10" s="6">
        <v>2017</v>
      </c>
      <c r="G10" s="6">
        <v>2018</v>
      </c>
      <c r="I10" s="2" t="s">
        <v>54</v>
      </c>
      <c r="J10" s="31">
        <v>0.15</v>
      </c>
      <c r="K10" s="31">
        <v>0.15</v>
      </c>
      <c r="L10" s="31"/>
    </row>
    <row r="11" spans="2:16" x14ac:dyDescent="0.3">
      <c r="B11" s="2" t="s">
        <v>2</v>
      </c>
      <c r="C11" s="15">
        <f>+C4*C5</f>
        <v>17920000</v>
      </c>
      <c r="D11" s="15">
        <f t="shared" ref="D11:G11" si="1">+D4*D5</f>
        <v>17920000</v>
      </c>
      <c r="E11" s="15">
        <f t="shared" si="1"/>
        <v>17920000</v>
      </c>
      <c r="F11" s="15">
        <f t="shared" si="1"/>
        <v>17920000</v>
      </c>
      <c r="G11" s="15">
        <f t="shared" si="1"/>
        <v>17920000</v>
      </c>
      <c r="I11" s="2" t="s">
        <v>51</v>
      </c>
      <c r="J11" s="2">
        <v>45</v>
      </c>
      <c r="K11" s="2">
        <v>45</v>
      </c>
      <c r="L11" s="2"/>
    </row>
    <row r="12" spans="2:16" x14ac:dyDescent="0.3">
      <c r="B12" s="2" t="s">
        <v>3</v>
      </c>
      <c r="C12" s="15">
        <f>-C4*C6</f>
        <v>-13440000</v>
      </c>
      <c r="D12" s="15">
        <f t="shared" ref="D12:G12" si="2">-D4*D6</f>
        <v>-13440000</v>
      </c>
      <c r="E12" s="15">
        <f t="shared" si="2"/>
        <v>-13440000</v>
      </c>
      <c r="F12" s="15">
        <f t="shared" si="2"/>
        <v>-13440000</v>
      </c>
      <c r="G12" s="15">
        <f t="shared" si="2"/>
        <v>-13440000</v>
      </c>
      <c r="I12" s="2" t="s">
        <v>52</v>
      </c>
      <c r="J12" s="2">
        <v>10</v>
      </c>
      <c r="K12" s="2">
        <v>10</v>
      </c>
      <c r="L12" s="2"/>
    </row>
    <row r="13" spans="2:16" x14ac:dyDescent="0.3">
      <c r="B13" s="2" t="s">
        <v>4</v>
      </c>
      <c r="C13" s="15">
        <v>-890000</v>
      </c>
      <c r="D13" s="15">
        <v>-890000</v>
      </c>
      <c r="E13" s="15">
        <v>-890000</v>
      </c>
      <c r="F13" s="15">
        <v>-890000</v>
      </c>
      <c r="G13" s="15">
        <v>-890000</v>
      </c>
      <c r="I13" s="2" t="s">
        <v>53</v>
      </c>
      <c r="J13" s="2">
        <v>38</v>
      </c>
      <c r="K13" s="2">
        <v>38</v>
      </c>
      <c r="L13" s="2"/>
    </row>
    <row r="14" spans="2:16" x14ac:dyDescent="0.3">
      <c r="B14" s="2" t="s">
        <v>5</v>
      </c>
      <c r="C14" s="15">
        <v>-600000</v>
      </c>
      <c r="D14" s="15">
        <v>-600000</v>
      </c>
      <c r="E14" s="15">
        <v>-600000</v>
      </c>
      <c r="F14" s="15">
        <v>-600000</v>
      </c>
      <c r="G14" s="15">
        <v>-600000</v>
      </c>
    </row>
    <row r="15" spans="2:16" x14ac:dyDescent="0.3">
      <c r="B15" s="2" t="s">
        <v>6</v>
      </c>
      <c r="C15" s="15">
        <f>SUM(C11:C14)</f>
        <v>2990000</v>
      </c>
      <c r="D15" s="15">
        <f t="shared" ref="D15:G15" si="3">SUM(D11:D14)</f>
        <v>2990000</v>
      </c>
      <c r="E15" s="15">
        <f t="shared" si="3"/>
        <v>2990000</v>
      </c>
      <c r="F15" s="15">
        <f t="shared" si="3"/>
        <v>2990000</v>
      </c>
      <c r="G15" s="15">
        <f t="shared" si="3"/>
        <v>2990000</v>
      </c>
    </row>
    <row r="16" spans="2:16" x14ac:dyDescent="0.3">
      <c r="B16" s="2" t="s">
        <v>13</v>
      </c>
      <c r="C16" s="15">
        <f>-C15*C7</f>
        <v>-882050</v>
      </c>
      <c r="D16" s="15">
        <f t="shared" ref="D16:G16" si="4">-D15*D7</f>
        <v>-882050</v>
      </c>
      <c r="E16" s="15">
        <f t="shared" si="4"/>
        <v>-882050</v>
      </c>
      <c r="F16" s="15">
        <f t="shared" si="4"/>
        <v>-882050</v>
      </c>
      <c r="G16" s="15">
        <f t="shared" si="4"/>
        <v>-882050</v>
      </c>
    </row>
    <row r="17" spans="2:7" x14ac:dyDescent="0.3">
      <c r="B17" s="2" t="s">
        <v>14</v>
      </c>
      <c r="C17" s="15">
        <f>+C15+C16</f>
        <v>2107950</v>
      </c>
      <c r="D17" s="15">
        <f t="shared" ref="D17:G17" si="5">+D15+D16</f>
        <v>2107950</v>
      </c>
      <c r="E17" s="15">
        <f t="shared" si="5"/>
        <v>2107950</v>
      </c>
      <c r="F17" s="15">
        <f t="shared" si="5"/>
        <v>2107950</v>
      </c>
      <c r="G17" s="15">
        <f t="shared" si="5"/>
        <v>2107950</v>
      </c>
    </row>
    <row r="18" spans="2:7" x14ac:dyDescent="0.3">
      <c r="B18" s="6" t="s">
        <v>15</v>
      </c>
      <c r="C18" s="15"/>
      <c r="D18" s="15"/>
      <c r="E18" s="15"/>
      <c r="F18" s="15"/>
      <c r="G18" s="15"/>
    </row>
    <row r="19" spans="2:7" x14ac:dyDescent="0.3">
      <c r="B19" s="2" t="s">
        <v>14</v>
      </c>
      <c r="C19" s="15">
        <f>+C17</f>
        <v>2107950</v>
      </c>
      <c r="D19" s="15">
        <f t="shared" ref="D19:G19" si="6">+D17</f>
        <v>2107950</v>
      </c>
      <c r="E19" s="15">
        <f t="shared" si="6"/>
        <v>2107950</v>
      </c>
      <c r="F19" s="15">
        <f t="shared" si="6"/>
        <v>2107950</v>
      </c>
      <c r="G19" s="15">
        <f t="shared" si="6"/>
        <v>2107950</v>
      </c>
    </row>
    <row r="20" spans="2:7" x14ac:dyDescent="0.3">
      <c r="B20" s="2" t="s">
        <v>16</v>
      </c>
      <c r="C20" s="15">
        <f>-C14</f>
        <v>600000</v>
      </c>
      <c r="D20" s="15">
        <f t="shared" ref="D20:G20" si="7">-D14</f>
        <v>600000</v>
      </c>
      <c r="E20" s="15">
        <f t="shared" si="7"/>
        <v>600000</v>
      </c>
      <c r="F20" s="15">
        <f t="shared" si="7"/>
        <v>600000</v>
      </c>
      <c r="G20" s="15">
        <f t="shared" si="7"/>
        <v>600000</v>
      </c>
    </row>
    <row r="21" spans="2:7" x14ac:dyDescent="0.3">
      <c r="B21" s="2" t="s">
        <v>17</v>
      </c>
      <c r="C21" s="19">
        <f>-P8</f>
        <v>-336657.53424657532</v>
      </c>
      <c r="D21" s="2">
        <v>0</v>
      </c>
      <c r="E21" s="2">
        <v>0</v>
      </c>
      <c r="F21" s="2">
        <v>0</v>
      </c>
      <c r="G21" s="2">
        <v>0</v>
      </c>
    </row>
    <row r="22" spans="2:7" x14ac:dyDescent="0.3">
      <c r="B22" s="2" t="s">
        <v>18</v>
      </c>
      <c r="C22" s="19">
        <f>+C19+C20+C21</f>
        <v>2371292.4657534249</v>
      </c>
      <c r="D22" s="19">
        <f t="shared" ref="D22:G22" si="8">+D19+D20</f>
        <v>2707950</v>
      </c>
      <c r="E22" s="19">
        <f t="shared" si="8"/>
        <v>2707950</v>
      </c>
      <c r="F22" s="19">
        <f t="shared" si="8"/>
        <v>2707950</v>
      </c>
      <c r="G22" s="19">
        <f t="shared" si="8"/>
        <v>2707950</v>
      </c>
    </row>
    <row r="23" spans="2:7" x14ac:dyDescent="0.3">
      <c r="B23" s="2" t="s">
        <v>19</v>
      </c>
      <c r="C23" s="15">
        <f>+C22*C8</f>
        <v>2371292.4657534249</v>
      </c>
      <c r="D23" s="15">
        <f t="shared" ref="D23:G23" si="9">+D22*D8</f>
        <v>2707950</v>
      </c>
      <c r="E23" s="15">
        <f t="shared" si="9"/>
        <v>2707950</v>
      </c>
      <c r="F23" s="15">
        <f t="shared" si="9"/>
        <v>2707950</v>
      </c>
      <c r="G23" s="15">
        <f t="shared" si="9"/>
        <v>2707950</v>
      </c>
    </row>
    <row r="24" spans="2:7" x14ac:dyDescent="0.3">
      <c r="B24" s="2" t="s">
        <v>49</v>
      </c>
      <c r="C24" s="15"/>
      <c r="D24" s="15"/>
      <c r="E24" s="15"/>
      <c r="F24" s="15"/>
      <c r="G24" s="15">
        <f>+G23*(1+J9)/(J10-J9)</f>
        <v>23243237.5</v>
      </c>
    </row>
    <row r="25" spans="2:7" x14ac:dyDescent="0.3">
      <c r="B25" s="4" t="s">
        <v>20</v>
      </c>
      <c r="C25" s="5">
        <f>NPV(0.15,C23:G23)+PV(J10,5,0,-Case_2!G24)</f>
        <v>20340719.653719217</v>
      </c>
      <c r="D25" s="4"/>
      <c r="E25" s="4"/>
      <c r="F25" s="4"/>
      <c r="G25" s="4"/>
    </row>
  </sheetData>
  <pageMargins left="0.7" right="0.7" top="0.75" bottom="0.75" header="0.3" footer="0.3"/>
  <pageSetup orientation="portrait" horizontalDpi="0" verticalDpi="0" r:id="rId1"/>
  <tableParts count="3">
    <tablePart r:id="rId2"/>
    <tablePart r:id="rId3"/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25"/>
  <sheetViews>
    <sheetView workbookViewId="0">
      <selection activeCell="M3" sqref="M3:P7"/>
    </sheetView>
  </sheetViews>
  <sheetFormatPr defaultRowHeight="14.4" x14ac:dyDescent="0.3"/>
  <cols>
    <col min="2" max="2" width="27" customWidth="1"/>
    <col min="3" max="3" width="11.77734375" bestFit="1" customWidth="1"/>
    <col min="4" max="7" width="11" bestFit="1" customWidth="1"/>
    <col min="9" max="9" width="15.21875" customWidth="1"/>
    <col min="10" max="10" width="11" bestFit="1" customWidth="1"/>
    <col min="11" max="11" width="13.21875" bestFit="1" customWidth="1"/>
    <col min="12" max="12" width="4" customWidth="1"/>
    <col min="14" max="14" width="10" bestFit="1" customWidth="1"/>
    <col min="15" max="15" width="11.109375" bestFit="1" customWidth="1"/>
    <col min="16" max="16" width="9" bestFit="1" customWidth="1"/>
  </cols>
  <sheetData>
    <row r="3" spans="2:16" x14ac:dyDescent="0.3">
      <c r="B3" s="6" t="s">
        <v>7</v>
      </c>
      <c r="C3" s="6" t="s">
        <v>44</v>
      </c>
      <c r="D3" s="6" t="s">
        <v>45</v>
      </c>
      <c r="E3" s="6" t="s">
        <v>46</v>
      </c>
      <c r="F3" s="6" t="s">
        <v>47</v>
      </c>
      <c r="G3" s="6" t="s">
        <v>48</v>
      </c>
      <c r="I3" s="32" t="s">
        <v>62</v>
      </c>
      <c r="J3" s="32" t="s">
        <v>0</v>
      </c>
      <c r="K3" s="32" t="s">
        <v>65</v>
      </c>
      <c r="M3" s="2" t="s">
        <v>21</v>
      </c>
      <c r="N3" s="2" t="s">
        <v>0</v>
      </c>
      <c r="O3" s="2" t="s">
        <v>27</v>
      </c>
      <c r="P3" s="2" t="s">
        <v>26</v>
      </c>
    </row>
    <row r="4" spans="2:16" x14ac:dyDescent="0.3">
      <c r="B4" s="2" t="s">
        <v>1</v>
      </c>
      <c r="C4" s="15">
        <v>1000000</v>
      </c>
      <c r="D4" s="15">
        <v>1000000</v>
      </c>
      <c r="E4" s="15">
        <v>1000000</v>
      </c>
      <c r="F4" s="15">
        <v>1000000</v>
      </c>
      <c r="G4" s="15">
        <v>1000000</v>
      </c>
      <c r="I4" s="2" t="s">
        <v>1</v>
      </c>
      <c r="J4" s="28">
        <v>1000000</v>
      </c>
      <c r="K4" s="28">
        <v>1000000</v>
      </c>
      <c r="M4" s="2" t="s">
        <v>22</v>
      </c>
      <c r="N4" s="15">
        <f>+(Case_1!C10/365)*45</f>
        <v>1578082.1917808219</v>
      </c>
      <c r="O4" s="19">
        <f>+(C11/365)*45</f>
        <v>1893698.6301369863</v>
      </c>
      <c r="P4" s="19">
        <f>+O4-N4</f>
        <v>315616.43835616438</v>
      </c>
    </row>
    <row r="5" spans="2:16" x14ac:dyDescent="0.3">
      <c r="B5" s="2" t="s">
        <v>8</v>
      </c>
      <c r="C5" s="16">
        <v>15.36</v>
      </c>
      <c r="D5" s="16">
        <v>15.36</v>
      </c>
      <c r="E5" s="16">
        <v>15.36</v>
      </c>
      <c r="F5" s="16">
        <v>15.36</v>
      </c>
      <c r="G5" s="16">
        <v>15.36</v>
      </c>
      <c r="I5" s="2" t="s">
        <v>60</v>
      </c>
      <c r="J5" s="29">
        <v>12.8</v>
      </c>
      <c r="K5" s="29">
        <v>15.36</v>
      </c>
      <c r="M5" s="2" t="s">
        <v>23</v>
      </c>
      <c r="N5" s="19">
        <f>-(Case_1!C11/365)*10</f>
        <v>263013.69863013696</v>
      </c>
      <c r="O5" s="19">
        <f>-(C12/365)*10</f>
        <v>263013.69863013696</v>
      </c>
      <c r="P5" s="19">
        <f>+O5-N5</f>
        <v>0</v>
      </c>
    </row>
    <row r="6" spans="2:16" x14ac:dyDescent="0.3">
      <c r="B6" s="2" t="s">
        <v>9</v>
      </c>
      <c r="C6" s="16">
        <v>9.6</v>
      </c>
      <c r="D6" s="16">
        <v>9.6</v>
      </c>
      <c r="E6" s="16">
        <v>9.6</v>
      </c>
      <c r="F6" s="16">
        <v>9.6</v>
      </c>
      <c r="G6" s="16">
        <v>9.6</v>
      </c>
      <c r="I6" s="2" t="s">
        <v>57</v>
      </c>
      <c r="J6" s="29">
        <v>9.6</v>
      </c>
      <c r="K6" s="29">
        <v>9.6</v>
      </c>
      <c r="M6" s="2" t="s">
        <v>24</v>
      </c>
      <c r="N6" s="15">
        <f>-(Case_1!C11/365)*38</f>
        <v>999452.05479452049</v>
      </c>
      <c r="O6" s="33">
        <f>-(C12/365)*38</f>
        <v>999452.05479452049</v>
      </c>
      <c r="P6" s="19">
        <f>+O6-N6</f>
        <v>0</v>
      </c>
    </row>
    <row r="7" spans="2:16" x14ac:dyDescent="0.3">
      <c r="B7" s="2" t="s">
        <v>10</v>
      </c>
      <c r="C7" s="17">
        <v>0.29499999999999998</v>
      </c>
      <c r="D7" s="17">
        <v>0.29499999999999998</v>
      </c>
      <c r="E7" s="17">
        <v>0.29499999999999998</v>
      </c>
      <c r="F7" s="17">
        <v>0.29499999999999998</v>
      </c>
      <c r="G7" s="17">
        <v>0.29499999999999998</v>
      </c>
      <c r="I7" s="2" t="s">
        <v>58</v>
      </c>
      <c r="J7" s="17">
        <v>0.29499999999999998</v>
      </c>
      <c r="K7" s="17">
        <v>0.29499999999999998</v>
      </c>
      <c r="M7" s="4" t="s">
        <v>25</v>
      </c>
      <c r="N7" s="26"/>
      <c r="O7" s="26"/>
      <c r="P7" s="26">
        <f>+P4-P6</f>
        <v>315616.43835616438</v>
      </c>
    </row>
    <row r="8" spans="2:16" x14ac:dyDescent="0.3">
      <c r="B8" s="2" t="s">
        <v>11</v>
      </c>
      <c r="C8" s="18">
        <v>1</v>
      </c>
      <c r="D8" s="18">
        <v>1</v>
      </c>
      <c r="E8" s="18">
        <v>1</v>
      </c>
      <c r="F8" s="18">
        <v>1</v>
      </c>
      <c r="G8" s="18">
        <v>1</v>
      </c>
      <c r="I8" s="2" t="s">
        <v>61</v>
      </c>
      <c r="J8" s="30">
        <v>1.2</v>
      </c>
      <c r="K8" s="30">
        <v>1</v>
      </c>
    </row>
    <row r="9" spans="2:16" x14ac:dyDescent="0.3">
      <c r="B9" s="2"/>
      <c r="C9" s="2"/>
      <c r="D9" s="2"/>
      <c r="E9" s="2"/>
      <c r="F9" s="2"/>
      <c r="G9" s="2"/>
      <c r="I9" s="2" t="s">
        <v>59</v>
      </c>
      <c r="J9" s="31">
        <v>0.03</v>
      </c>
      <c r="K9" s="31">
        <v>0.03</v>
      </c>
    </row>
    <row r="10" spans="2:16" x14ac:dyDescent="0.3">
      <c r="B10" s="6" t="s">
        <v>12</v>
      </c>
      <c r="C10" s="6">
        <v>2014</v>
      </c>
      <c r="D10" s="6">
        <v>2015</v>
      </c>
      <c r="E10" s="6">
        <v>2016</v>
      </c>
      <c r="F10" s="6">
        <v>2017</v>
      </c>
      <c r="G10" s="6">
        <v>2018</v>
      </c>
      <c r="I10" s="2" t="s">
        <v>54</v>
      </c>
      <c r="J10" s="31">
        <v>0.15</v>
      </c>
      <c r="K10" s="31">
        <v>0.15</v>
      </c>
    </row>
    <row r="11" spans="2:16" x14ac:dyDescent="0.3">
      <c r="B11" s="2" t="s">
        <v>2</v>
      </c>
      <c r="C11" s="15">
        <f>+C4*C5</f>
        <v>15360000</v>
      </c>
      <c r="D11" s="15">
        <f t="shared" ref="D11:G11" si="0">+D4*D5</f>
        <v>15360000</v>
      </c>
      <c r="E11" s="15">
        <f t="shared" si="0"/>
        <v>15360000</v>
      </c>
      <c r="F11" s="15">
        <f t="shared" si="0"/>
        <v>15360000</v>
      </c>
      <c r="G11" s="15">
        <f t="shared" si="0"/>
        <v>15360000</v>
      </c>
      <c r="I11" s="2" t="s">
        <v>51</v>
      </c>
      <c r="J11" s="2">
        <v>45</v>
      </c>
      <c r="K11" s="2">
        <v>45</v>
      </c>
    </row>
    <row r="12" spans="2:16" x14ac:dyDescent="0.3">
      <c r="B12" s="2" t="s">
        <v>3</v>
      </c>
      <c r="C12" s="15">
        <f>-C4*C6</f>
        <v>-9600000</v>
      </c>
      <c r="D12" s="15">
        <f t="shared" ref="D12:G12" si="1">-D4*D6</f>
        <v>-9600000</v>
      </c>
      <c r="E12" s="15">
        <f t="shared" si="1"/>
        <v>-9600000</v>
      </c>
      <c r="F12" s="15">
        <f t="shared" si="1"/>
        <v>-9600000</v>
      </c>
      <c r="G12" s="15">
        <f t="shared" si="1"/>
        <v>-9600000</v>
      </c>
      <c r="I12" s="2" t="s">
        <v>52</v>
      </c>
      <c r="J12" s="2">
        <v>10</v>
      </c>
      <c r="K12" s="2">
        <v>10</v>
      </c>
    </row>
    <row r="13" spans="2:16" x14ac:dyDescent="0.3">
      <c r="B13" s="2" t="s">
        <v>4</v>
      </c>
      <c r="C13" s="15">
        <v>-890000</v>
      </c>
      <c r="D13" s="15">
        <v>-890000</v>
      </c>
      <c r="E13" s="15">
        <v>-890000</v>
      </c>
      <c r="F13" s="15">
        <v>-890000</v>
      </c>
      <c r="G13" s="15">
        <v>-890000</v>
      </c>
      <c r="I13" s="2" t="s">
        <v>53</v>
      </c>
      <c r="J13" s="2">
        <v>38</v>
      </c>
      <c r="K13" s="2">
        <v>38</v>
      </c>
    </row>
    <row r="14" spans="2:16" x14ac:dyDescent="0.3">
      <c r="B14" s="2" t="s">
        <v>5</v>
      </c>
      <c r="C14" s="15">
        <v>-600000</v>
      </c>
      <c r="D14" s="15">
        <v>-600000</v>
      </c>
      <c r="E14" s="15">
        <v>-600000</v>
      </c>
      <c r="F14" s="15">
        <v>-600000</v>
      </c>
      <c r="G14" s="15">
        <v>-600000</v>
      </c>
    </row>
    <row r="15" spans="2:16" x14ac:dyDescent="0.3">
      <c r="B15" s="2" t="s">
        <v>6</v>
      </c>
      <c r="C15" s="15">
        <f>SUM(C11:C14)</f>
        <v>4270000</v>
      </c>
      <c r="D15" s="15">
        <f t="shared" ref="D15:G15" si="2">SUM(D11:D14)</f>
        <v>4270000</v>
      </c>
      <c r="E15" s="15">
        <f t="shared" si="2"/>
        <v>4270000</v>
      </c>
      <c r="F15" s="15">
        <f t="shared" si="2"/>
        <v>4270000</v>
      </c>
      <c r="G15" s="15">
        <f t="shared" si="2"/>
        <v>4270000</v>
      </c>
    </row>
    <row r="16" spans="2:16" x14ac:dyDescent="0.3">
      <c r="B16" s="2" t="s">
        <v>13</v>
      </c>
      <c r="C16" s="15">
        <f>-C15*C7</f>
        <v>-1259650</v>
      </c>
      <c r="D16" s="15">
        <f t="shared" ref="D16:G16" si="3">-D15*D7</f>
        <v>-1259650</v>
      </c>
      <c r="E16" s="15">
        <f t="shared" si="3"/>
        <v>-1259650</v>
      </c>
      <c r="F16" s="15">
        <f t="shared" si="3"/>
        <v>-1259650</v>
      </c>
      <c r="G16" s="15">
        <f t="shared" si="3"/>
        <v>-1259650</v>
      </c>
    </row>
    <row r="17" spans="2:7" x14ac:dyDescent="0.3">
      <c r="B17" s="2" t="s">
        <v>14</v>
      </c>
      <c r="C17" s="15">
        <f>+C15+C16</f>
        <v>3010350</v>
      </c>
      <c r="D17" s="15">
        <f t="shared" ref="D17:G17" si="4">+D15+D16</f>
        <v>3010350</v>
      </c>
      <c r="E17" s="15">
        <f t="shared" si="4"/>
        <v>3010350</v>
      </c>
      <c r="F17" s="15">
        <f t="shared" si="4"/>
        <v>3010350</v>
      </c>
      <c r="G17" s="15">
        <f t="shared" si="4"/>
        <v>3010350</v>
      </c>
    </row>
    <row r="18" spans="2:7" x14ac:dyDescent="0.3">
      <c r="B18" s="6" t="s">
        <v>15</v>
      </c>
      <c r="C18" s="15"/>
      <c r="D18" s="15"/>
      <c r="E18" s="15"/>
      <c r="F18" s="15"/>
      <c r="G18" s="15"/>
    </row>
    <row r="19" spans="2:7" x14ac:dyDescent="0.3">
      <c r="B19" s="2" t="s">
        <v>14</v>
      </c>
      <c r="C19" s="15">
        <f>+C17</f>
        <v>3010350</v>
      </c>
      <c r="D19" s="15">
        <f t="shared" ref="D19:G19" si="5">+D17</f>
        <v>3010350</v>
      </c>
      <c r="E19" s="15">
        <f t="shared" si="5"/>
        <v>3010350</v>
      </c>
      <c r="F19" s="15">
        <f t="shared" si="5"/>
        <v>3010350</v>
      </c>
      <c r="G19" s="15">
        <f t="shared" si="5"/>
        <v>3010350</v>
      </c>
    </row>
    <row r="20" spans="2:7" x14ac:dyDescent="0.3">
      <c r="B20" s="2" t="s">
        <v>16</v>
      </c>
      <c r="C20" s="15">
        <f>-C14</f>
        <v>600000</v>
      </c>
      <c r="D20" s="15">
        <f t="shared" ref="D20:G20" si="6">-D14</f>
        <v>600000</v>
      </c>
      <c r="E20" s="15">
        <f t="shared" si="6"/>
        <v>600000</v>
      </c>
      <c r="F20" s="15">
        <f t="shared" si="6"/>
        <v>600000</v>
      </c>
      <c r="G20" s="15">
        <f t="shared" si="6"/>
        <v>600000</v>
      </c>
    </row>
    <row r="21" spans="2:7" x14ac:dyDescent="0.3">
      <c r="B21" s="2" t="s">
        <v>17</v>
      </c>
      <c r="C21" s="19">
        <f>-P7</f>
        <v>-315616.43835616438</v>
      </c>
      <c r="D21" s="2">
        <v>0</v>
      </c>
      <c r="E21" s="2">
        <v>0</v>
      </c>
      <c r="F21" s="2">
        <v>0</v>
      </c>
      <c r="G21" s="2">
        <v>0</v>
      </c>
    </row>
    <row r="22" spans="2:7" x14ac:dyDescent="0.3">
      <c r="B22" s="2" t="s">
        <v>18</v>
      </c>
      <c r="C22" s="19">
        <f>+C19+C20+C21</f>
        <v>3294733.5616438356</v>
      </c>
      <c r="D22" s="19">
        <f t="shared" ref="D22:G22" si="7">+D19+D20</f>
        <v>3610350</v>
      </c>
      <c r="E22" s="19">
        <f t="shared" si="7"/>
        <v>3610350</v>
      </c>
      <c r="F22" s="19">
        <f t="shared" si="7"/>
        <v>3610350</v>
      </c>
      <c r="G22" s="19">
        <f t="shared" si="7"/>
        <v>3610350</v>
      </c>
    </row>
    <row r="23" spans="2:7" x14ac:dyDescent="0.3">
      <c r="B23" s="2" t="s">
        <v>19</v>
      </c>
      <c r="C23" s="15">
        <f>+C22*C8</f>
        <v>3294733.5616438356</v>
      </c>
      <c r="D23" s="15">
        <f t="shared" ref="D23:G23" si="8">+D22*D8</f>
        <v>3610350</v>
      </c>
      <c r="E23" s="15">
        <f t="shared" si="8"/>
        <v>3610350</v>
      </c>
      <c r="F23" s="15">
        <f t="shared" si="8"/>
        <v>3610350</v>
      </c>
      <c r="G23" s="15">
        <f t="shared" si="8"/>
        <v>3610350</v>
      </c>
    </row>
    <row r="24" spans="2:7" x14ac:dyDescent="0.3">
      <c r="B24" s="2" t="s">
        <v>49</v>
      </c>
      <c r="C24" s="15"/>
      <c r="D24" s="15"/>
      <c r="E24" s="15"/>
      <c r="F24" s="15"/>
      <c r="G24" s="15">
        <f>+G23*(1+K9)/(K10-K9)</f>
        <v>30988837.5</v>
      </c>
    </row>
    <row r="25" spans="2:7" x14ac:dyDescent="0.3">
      <c r="B25" s="4" t="s">
        <v>20</v>
      </c>
      <c r="C25" s="5">
        <f>NPV(0.15,C23:G23)+PV(K10,5,0,-G24)</f>
        <v>27234933.14021324</v>
      </c>
      <c r="D25" s="4"/>
      <c r="E25" s="4"/>
      <c r="F25" s="4"/>
      <c r="G25" s="4"/>
    </row>
  </sheetData>
  <pageMargins left="0.7" right="0.7" top="0.75" bottom="0.75" header="0.3" footer="0.3"/>
  <tableParts count="3">
    <tablePart r:id="rId1"/>
    <tablePart r:id="rId2"/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25"/>
  <sheetViews>
    <sheetView workbookViewId="0">
      <selection activeCell="M3" sqref="M3:P7"/>
    </sheetView>
  </sheetViews>
  <sheetFormatPr defaultRowHeight="14.4" x14ac:dyDescent="0.3"/>
  <cols>
    <col min="2" max="2" width="27.6640625" bestFit="1" customWidth="1"/>
    <col min="3" max="7" width="11.6640625" bestFit="1" customWidth="1"/>
    <col min="9" max="9" width="22.44140625" customWidth="1"/>
    <col min="10" max="11" width="10" bestFit="1" customWidth="1"/>
    <col min="12" max="12" width="4.5546875" customWidth="1"/>
    <col min="13" max="13" width="9.77734375" bestFit="1" customWidth="1"/>
    <col min="14" max="15" width="10" bestFit="1" customWidth="1"/>
  </cols>
  <sheetData>
    <row r="3" spans="2:16" x14ac:dyDescent="0.3">
      <c r="B3" s="34" t="s">
        <v>7</v>
      </c>
      <c r="C3" s="34" t="s">
        <v>44</v>
      </c>
      <c r="D3" s="34" t="s">
        <v>45</v>
      </c>
      <c r="E3" s="34" t="s">
        <v>46</v>
      </c>
      <c r="F3" s="34" t="s">
        <v>47</v>
      </c>
      <c r="G3" s="34" t="s">
        <v>48</v>
      </c>
      <c r="I3" s="32" t="s">
        <v>62</v>
      </c>
      <c r="J3" s="32" t="s">
        <v>0</v>
      </c>
      <c r="K3" s="32" t="s">
        <v>65</v>
      </c>
      <c r="M3" s="2" t="s">
        <v>21</v>
      </c>
      <c r="N3" s="2" t="s">
        <v>0</v>
      </c>
      <c r="O3" s="2" t="s">
        <v>43</v>
      </c>
      <c r="P3" s="2" t="s">
        <v>26</v>
      </c>
    </row>
    <row r="4" spans="2:16" x14ac:dyDescent="0.3">
      <c r="B4" s="2" t="s">
        <v>1</v>
      </c>
      <c r="C4" s="15">
        <v>1100000</v>
      </c>
      <c r="D4" s="15">
        <v>1100000</v>
      </c>
      <c r="E4" s="15">
        <v>1100000</v>
      </c>
      <c r="F4" s="15">
        <v>1100000</v>
      </c>
      <c r="G4" s="15">
        <v>1100000</v>
      </c>
      <c r="I4" s="2" t="s">
        <v>1</v>
      </c>
      <c r="J4" s="28">
        <v>1000000</v>
      </c>
      <c r="K4" s="28">
        <v>1100000</v>
      </c>
      <c r="M4" s="2" t="s">
        <v>22</v>
      </c>
      <c r="N4" s="15">
        <f>+(Case_1!C10/365)*45</f>
        <v>1578082.1917808219</v>
      </c>
      <c r="O4" s="19">
        <f>+(C11/365)*45</f>
        <v>1909479.4520547946</v>
      </c>
      <c r="P4" s="19">
        <f>+O4-N4</f>
        <v>331397.26027397276</v>
      </c>
    </row>
    <row r="5" spans="2:16" x14ac:dyDescent="0.3">
      <c r="B5" s="2" t="s">
        <v>8</v>
      </c>
      <c r="C5" s="16">
        <v>14.08</v>
      </c>
      <c r="D5" s="16">
        <v>14.08</v>
      </c>
      <c r="E5" s="16">
        <v>14.08</v>
      </c>
      <c r="F5" s="16">
        <v>14.08</v>
      </c>
      <c r="G5" s="16">
        <v>14.08</v>
      </c>
      <c r="I5" s="2" t="s">
        <v>60</v>
      </c>
      <c r="J5" s="29">
        <v>12.8</v>
      </c>
      <c r="K5" s="29">
        <v>14.08</v>
      </c>
      <c r="M5" s="2" t="s">
        <v>23</v>
      </c>
      <c r="N5" s="19">
        <f>-(Case_1!C11/365)*10</f>
        <v>263013.69863013696</v>
      </c>
      <c r="O5" s="19">
        <f>-(C12/365)*10</f>
        <v>301369.8630136986</v>
      </c>
      <c r="P5" s="19">
        <f>+O5-N5</f>
        <v>38356.164383561641</v>
      </c>
    </row>
    <row r="6" spans="2:16" x14ac:dyDescent="0.3">
      <c r="B6" s="2" t="s">
        <v>9</v>
      </c>
      <c r="C6" s="16">
        <v>10</v>
      </c>
      <c r="D6" s="16">
        <v>10</v>
      </c>
      <c r="E6" s="16">
        <v>10</v>
      </c>
      <c r="F6" s="16">
        <v>10</v>
      </c>
      <c r="G6" s="16">
        <v>10</v>
      </c>
      <c r="I6" s="2" t="s">
        <v>57</v>
      </c>
      <c r="J6" s="29">
        <v>9.6</v>
      </c>
      <c r="K6" s="29">
        <v>10</v>
      </c>
      <c r="M6" s="2" t="s">
        <v>24</v>
      </c>
      <c r="N6" s="15">
        <f>-(Case_1!C11/365)*38</f>
        <v>999452.05479452049</v>
      </c>
      <c r="O6" s="19">
        <f>-(C12/365)*38</f>
        <v>1145205.4794520547</v>
      </c>
      <c r="P6" s="19">
        <f>+O6-N6</f>
        <v>145753.42465753423</v>
      </c>
    </row>
    <row r="7" spans="2:16" x14ac:dyDescent="0.3">
      <c r="B7" s="2" t="s">
        <v>10</v>
      </c>
      <c r="C7" s="17">
        <v>0.29499999999999998</v>
      </c>
      <c r="D7" s="17">
        <v>0.29499999999999998</v>
      </c>
      <c r="E7" s="17">
        <v>0.29499999999999998</v>
      </c>
      <c r="F7" s="17">
        <v>0.29499999999999998</v>
      </c>
      <c r="G7" s="17">
        <v>0.29499999999999998</v>
      </c>
      <c r="I7" s="2" t="s">
        <v>58</v>
      </c>
      <c r="J7" s="17">
        <v>0.29499999999999998</v>
      </c>
      <c r="K7" s="17">
        <v>0.29499999999999998</v>
      </c>
      <c r="M7" s="4" t="s">
        <v>25</v>
      </c>
      <c r="N7" s="26"/>
      <c r="O7" s="26"/>
      <c r="P7" s="26">
        <f>+P4+P5-P6</f>
        <v>224000.00000000017</v>
      </c>
    </row>
    <row r="8" spans="2:16" x14ac:dyDescent="0.3">
      <c r="B8" s="2" t="s">
        <v>11</v>
      </c>
      <c r="C8" s="18">
        <v>1</v>
      </c>
      <c r="D8" s="18">
        <v>1</v>
      </c>
      <c r="E8" s="18">
        <v>1</v>
      </c>
      <c r="F8" s="18">
        <v>1</v>
      </c>
      <c r="G8" s="18">
        <v>1</v>
      </c>
      <c r="H8" s="1"/>
      <c r="I8" s="2" t="s">
        <v>61</v>
      </c>
      <c r="J8" s="30">
        <v>1.2</v>
      </c>
      <c r="K8" s="30">
        <v>1</v>
      </c>
    </row>
    <row r="9" spans="2:16" x14ac:dyDescent="0.3">
      <c r="B9" s="2"/>
      <c r="C9" s="2"/>
      <c r="D9" s="2"/>
      <c r="E9" s="2"/>
      <c r="F9" s="2"/>
      <c r="G9" s="2"/>
      <c r="I9" s="2" t="s">
        <v>59</v>
      </c>
      <c r="J9" s="31">
        <v>0.03</v>
      </c>
      <c r="K9" s="31">
        <v>0.03</v>
      </c>
    </row>
    <row r="10" spans="2:16" x14ac:dyDescent="0.3">
      <c r="B10" s="34" t="s">
        <v>12</v>
      </c>
      <c r="C10" s="34">
        <v>2014</v>
      </c>
      <c r="D10" s="34">
        <v>2015</v>
      </c>
      <c r="E10" s="34">
        <v>2016</v>
      </c>
      <c r="F10" s="34">
        <v>2017</v>
      </c>
      <c r="G10" s="34">
        <v>2018</v>
      </c>
      <c r="I10" s="2" t="s">
        <v>54</v>
      </c>
      <c r="J10" s="31">
        <v>0.15</v>
      </c>
      <c r="K10" s="31">
        <v>0.15</v>
      </c>
    </row>
    <row r="11" spans="2:16" x14ac:dyDescent="0.3">
      <c r="B11" s="2" t="s">
        <v>2</v>
      </c>
      <c r="C11" s="15">
        <f>+C4*C5</f>
        <v>15488000</v>
      </c>
      <c r="D11" s="15">
        <f t="shared" ref="D11:G11" si="0">+D4*D5</f>
        <v>15488000</v>
      </c>
      <c r="E11" s="15">
        <f t="shared" si="0"/>
        <v>15488000</v>
      </c>
      <c r="F11" s="15">
        <f t="shared" si="0"/>
        <v>15488000</v>
      </c>
      <c r="G11" s="15">
        <f t="shared" si="0"/>
        <v>15488000</v>
      </c>
      <c r="I11" s="2" t="s">
        <v>51</v>
      </c>
      <c r="J11" s="2">
        <v>45</v>
      </c>
      <c r="K11" s="2">
        <v>45</v>
      </c>
    </row>
    <row r="12" spans="2:16" x14ac:dyDescent="0.3">
      <c r="B12" s="2" t="s">
        <v>3</v>
      </c>
      <c r="C12" s="15">
        <f>-C4*C6</f>
        <v>-11000000</v>
      </c>
      <c r="D12" s="15">
        <f t="shared" ref="D12:G12" si="1">-D4*D6</f>
        <v>-11000000</v>
      </c>
      <c r="E12" s="15">
        <f t="shared" si="1"/>
        <v>-11000000</v>
      </c>
      <c r="F12" s="15">
        <f t="shared" si="1"/>
        <v>-11000000</v>
      </c>
      <c r="G12" s="15">
        <f t="shared" si="1"/>
        <v>-11000000</v>
      </c>
      <c r="I12" s="2" t="s">
        <v>52</v>
      </c>
      <c r="J12" s="2">
        <v>10</v>
      </c>
      <c r="K12" s="2">
        <v>10</v>
      </c>
    </row>
    <row r="13" spans="2:16" x14ac:dyDescent="0.3">
      <c r="B13" s="2" t="s">
        <v>4</v>
      </c>
      <c r="C13" s="15">
        <v>-890000</v>
      </c>
      <c r="D13" s="15">
        <v>-890000</v>
      </c>
      <c r="E13" s="15">
        <v>-890000</v>
      </c>
      <c r="F13" s="15">
        <v>-890000</v>
      </c>
      <c r="G13" s="15">
        <v>-890000</v>
      </c>
      <c r="I13" s="2" t="s">
        <v>53</v>
      </c>
      <c r="J13" s="2">
        <v>38</v>
      </c>
      <c r="K13" s="2">
        <v>38</v>
      </c>
    </row>
    <row r="14" spans="2:16" x14ac:dyDescent="0.3">
      <c r="B14" s="2" t="s">
        <v>5</v>
      </c>
      <c r="C14" s="15">
        <v>-600000</v>
      </c>
      <c r="D14" s="15">
        <v>-600000</v>
      </c>
      <c r="E14" s="15">
        <v>-600000</v>
      </c>
      <c r="F14" s="15">
        <v>-600000</v>
      </c>
      <c r="G14" s="15">
        <v>-600000</v>
      </c>
    </row>
    <row r="15" spans="2:16" x14ac:dyDescent="0.3">
      <c r="B15" s="2" t="s">
        <v>6</v>
      </c>
      <c r="C15" s="15">
        <f>SUM(C11:C14)</f>
        <v>2998000</v>
      </c>
      <c r="D15" s="15">
        <f t="shared" ref="D15:G15" si="2">SUM(D11:D14)</f>
        <v>2998000</v>
      </c>
      <c r="E15" s="15">
        <f t="shared" si="2"/>
        <v>2998000</v>
      </c>
      <c r="F15" s="15">
        <f t="shared" si="2"/>
        <v>2998000</v>
      </c>
      <c r="G15" s="15">
        <f t="shared" si="2"/>
        <v>2998000</v>
      </c>
    </row>
    <row r="16" spans="2:16" x14ac:dyDescent="0.3">
      <c r="B16" s="2" t="s">
        <v>13</v>
      </c>
      <c r="C16" s="15">
        <f>-C15*C7</f>
        <v>-884410</v>
      </c>
      <c r="D16" s="15">
        <f t="shared" ref="D16:G16" si="3">-D15*D7</f>
        <v>-884410</v>
      </c>
      <c r="E16" s="15">
        <f t="shared" si="3"/>
        <v>-884410</v>
      </c>
      <c r="F16" s="15">
        <f t="shared" si="3"/>
        <v>-884410</v>
      </c>
      <c r="G16" s="15">
        <f t="shared" si="3"/>
        <v>-884410</v>
      </c>
    </row>
    <row r="17" spans="2:7" x14ac:dyDescent="0.3">
      <c r="B17" s="2" t="s">
        <v>14</v>
      </c>
      <c r="C17" s="15">
        <f>+C15+C16</f>
        <v>2113590</v>
      </c>
      <c r="D17" s="15">
        <f t="shared" ref="D17:G17" si="4">+D15+D16</f>
        <v>2113590</v>
      </c>
      <c r="E17" s="15">
        <f t="shared" si="4"/>
        <v>2113590</v>
      </c>
      <c r="F17" s="15">
        <f t="shared" si="4"/>
        <v>2113590</v>
      </c>
      <c r="G17" s="15">
        <f t="shared" si="4"/>
        <v>2113590</v>
      </c>
    </row>
    <row r="18" spans="2:7" x14ac:dyDescent="0.3">
      <c r="B18" s="34" t="s">
        <v>15</v>
      </c>
      <c r="C18" s="15"/>
      <c r="D18" s="15"/>
      <c r="E18" s="15"/>
      <c r="F18" s="15"/>
      <c r="G18" s="15"/>
    </row>
    <row r="19" spans="2:7" x14ac:dyDescent="0.3">
      <c r="B19" s="2" t="s">
        <v>14</v>
      </c>
      <c r="C19" s="15">
        <f>+C17</f>
        <v>2113590</v>
      </c>
      <c r="D19" s="15">
        <f t="shared" ref="D19:G19" si="5">+D17</f>
        <v>2113590</v>
      </c>
      <c r="E19" s="15">
        <f t="shared" si="5"/>
        <v>2113590</v>
      </c>
      <c r="F19" s="15">
        <f t="shared" si="5"/>
        <v>2113590</v>
      </c>
      <c r="G19" s="15">
        <f t="shared" si="5"/>
        <v>2113590</v>
      </c>
    </row>
    <row r="20" spans="2:7" x14ac:dyDescent="0.3">
      <c r="B20" s="2" t="s">
        <v>16</v>
      </c>
      <c r="C20" s="15">
        <f>-C14</f>
        <v>600000</v>
      </c>
      <c r="D20" s="15">
        <f t="shared" ref="D20:G20" si="6">-D14</f>
        <v>600000</v>
      </c>
      <c r="E20" s="15">
        <f t="shared" si="6"/>
        <v>600000</v>
      </c>
      <c r="F20" s="15">
        <f t="shared" si="6"/>
        <v>600000</v>
      </c>
      <c r="G20" s="15">
        <f t="shared" si="6"/>
        <v>600000</v>
      </c>
    </row>
    <row r="21" spans="2:7" x14ac:dyDescent="0.3">
      <c r="B21" s="2" t="s">
        <v>17</v>
      </c>
      <c r="C21" s="19">
        <f>-P7</f>
        <v>-224000.00000000017</v>
      </c>
      <c r="D21" s="2">
        <v>0</v>
      </c>
      <c r="E21" s="2">
        <v>0</v>
      </c>
      <c r="F21" s="2">
        <v>0</v>
      </c>
      <c r="G21" s="2">
        <v>0</v>
      </c>
    </row>
    <row r="22" spans="2:7" x14ac:dyDescent="0.3">
      <c r="B22" s="2" t="s">
        <v>18</v>
      </c>
      <c r="C22" s="19">
        <f>+C19+C20+C21</f>
        <v>2489590</v>
      </c>
      <c r="D22" s="19">
        <f t="shared" ref="D22:G22" si="7">+D19+D20</f>
        <v>2713590</v>
      </c>
      <c r="E22" s="19">
        <f t="shared" si="7"/>
        <v>2713590</v>
      </c>
      <c r="F22" s="19">
        <f t="shared" si="7"/>
        <v>2713590</v>
      </c>
      <c r="G22" s="19">
        <f t="shared" si="7"/>
        <v>2713590</v>
      </c>
    </row>
    <row r="23" spans="2:7" x14ac:dyDescent="0.3">
      <c r="B23" s="2" t="s">
        <v>19</v>
      </c>
      <c r="C23" s="15">
        <f>+C22*C8</f>
        <v>2489590</v>
      </c>
      <c r="D23" s="15">
        <f t="shared" ref="D23:G23" si="8">+D22*D8</f>
        <v>2713590</v>
      </c>
      <c r="E23" s="15">
        <f t="shared" si="8"/>
        <v>2713590</v>
      </c>
      <c r="F23" s="15">
        <f t="shared" si="8"/>
        <v>2713590</v>
      </c>
      <c r="G23" s="15">
        <f t="shared" si="8"/>
        <v>2713590</v>
      </c>
    </row>
    <row r="24" spans="2:7" x14ac:dyDescent="0.3">
      <c r="B24" s="2" t="s">
        <v>49</v>
      </c>
      <c r="C24" s="15"/>
      <c r="D24" s="15"/>
      <c r="E24" s="15"/>
      <c r="F24" s="15"/>
      <c r="G24" s="15">
        <f>+G23*(1+K9)/(K10-K9)</f>
        <v>23291647.500000004</v>
      </c>
    </row>
    <row r="25" spans="2:7" x14ac:dyDescent="0.3">
      <c r="B25" s="4" t="s">
        <v>20</v>
      </c>
      <c r="C25" s="5">
        <f>NPV(0.15,C23:G23)+PV(K10,5,0,-G24)</f>
        <v>20481657.207485691</v>
      </c>
      <c r="D25" s="4"/>
      <c r="E25" s="4"/>
      <c r="F25" s="4"/>
      <c r="G25" s="4"/>
    </row>
  </sheetData>
  <pageMargins left="0.7" right="0.7" top="0.75" bottom="0.75" header="0.3" footer="0.3"/>
  <tableParts count="3">
    <tablePart r:id="rId1"/>
    <tablePart r:id="rId2"/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H1" sqref="H1:I14"/>
    </sheetView>
  </sheetViews>
  <sheetFormatPr defaultRowHeight="14.4" x14ac:dyDescent="0.3"/>
  <cols>
    <col min="1" max="1" width="27" bestFit="1" customWidth="1"/>
    <col min="2" max="2" width="11.77734375" bestFit="1" customWidth="1"/>
    <col min="3" max="4" width="11" bestFit="1" customWidth="1"/>
    <col min="5" max="6" width="11.5546875" bestFit="1" customWidth="1"/>
    <col min="8" max="8" width="22.44140625" bestFit="1" customWidth="1"/>
    <col min="9" max="9" width="9.33203125" bestFit="1" customWidth="1"/>
  </cols>
  <sheetData>
    <row r="1" spans="1:9" x14ac:dyDescent="0.3">
      <c r="H1" s="32" t="s">
        <v>62</v>
      </c>
      <c r="I1" s="32" t="s">
        <v>56</v>
      </c>
    </row>
    <row r="2" spans="1:9" x14ac:dyDescent="0.3">
      <c r="A2" s="8" t="s">
        <v>7</v>
      </c>
      <c r="B2" s="12" t="s">
        <v>44</v>
      </c>
      <c r="C2" s="12" t="s">
        <v>45</v>
      </c>
      <c r="D2" s="12" t="s">
        <v>46</v>
      </c>
      <c r="E2" s="12" t="s">
        <v>47</v>
      </c>
      <c r="F2" s="12" t="s">
        <v>48</v>
      </c>
      <c r="H2" s="2" t="s">
        <v>1</v>
      </c>
      <c r="I2" s="28">
        <v>1000000</v>
      </c>
    </row>
    <row r="3" spans="1:9" x14ac:dyDescent="0.3">
      <c r="A3" s="2" t="s">
        <v>1</v>
      </c>
      <c r="B3" s="15">
        <f>+(1+(((($B$4*B7)/($B$4*$I$6))-1)*(-0.8)))*$I$2</f>
        <v>1011650.4854368933</v>
      </c>
      <c r="C3" s="15">
        <f>+(1+(((($B$4*C7)/($B$4*$I$6))-1)*(-0.8)))*$I$2</f>
        <v>1023131.3036101426</v>
      </c>
      <c r="D3" s="15">
        <f>+(1+(((($B$4*D7)/($B$4*$I$6))-1)*(-0.8)))*$I$2</f>
        <v>1034444.9254022279</v>
      </c>
      <c r="E3" s="15">
        <f>+(1+(((($B$4*E7)/($B$4*$I$6))-1)*(-0.8)))*$I$2</f>
        <v>1045593.7857119042</v>
      </c>
      <c r="F3" s="15">
        <f>+(1+(((($B$4*F7)/($B$4*$I$6))-1)*(-0.8)))*$I$2</f>
        <v>1056580.2839782357</v>
      </c>
      <c r="H3" s="2" t="s">
        <v>60</v>
      </c>
      <c r="I3" s="29">
        <v>12.8</v>
      </c>
    </row>
    <row r="4" spans="1:9" x14ac:dyDescent="0.3">
      <c r="A4" s="2" t="s">
        <v>8</v>
      </c>
      <c r="B4" s="16">
        <v>12.8</v>
      </c>
      <c r="C4" s="16">
        <v>12.8</v>
      </c>
      <c r="D4" s="16">
        <v>12.8</v>
      </c>
      <c r="E4" s="16">
        <v>12.8</v>
      </c>
      <c r="F4" s="16">
        <v>12.8</v>
      </c>
      <c r="H4" s="2" t="s">
        <v>57</v>
      </c>
      <c r="I4" s="29">
        <v>9.6</v>
      </c>
    </row>
    <row r="5" spans="1:9" x14ac:dyDescent="0.3">
      <c r="A5" s="2" t="s">
        <v>9</v>
      </c>
      <c r="B5" s="16">
        <v>9.6</v>
      </c>
      <c r="C5" s="16">
        <v>9.6</v>
      </c>
      <c r="D5" s="16">
        <v>9.6</v>
      </c>
      <c r="E5" s="16">
        <v>9.6</v>
      </c>
      <c r="F5" s="16">
        <v>9.6</v>
      </c>
      <c r="H5" s="2" t="s">
        <v>58</v>
      </c>
      <c r="I5" s="17">
        <v>0.29499999999999998</v>
      </c>
    </row>
    <row r="6" spans="1:9" x14ac:dyDescent="0.3">
      <c r="A6" s="2" t="s">
        <v>10</v>
      </c>
      <c r="B6" s="17">
        <v>0.29499999999999998</v>
      </c>
      <c r="C6" s="17">
        <v>0.29499999999999998</v>
      </c>
      <c r="D6" s="17">
        <v>0.29499999999999998</v>
      </c>
      <c r="E6" s="17">
        <v>0.29499999999999998</v>
      </c>
      <c r="F6" s="17">
        <v>0.29499999999999998</v>
      </c>
      <c r="H6" s="2" t="s">
        <v>61</v>
      </c>
      <c r="I6" s="30">
        <v>1.2</v>
      </c>
    </row>
    <row r="7" spans="1:9" x14ac:dyDescent="0.3">
      <c r="A7" s="2" t="s">
        <v>11</v>
      </c>
      <c r="B7" s="18">
        <f>+$I$6*(1+$I$7)^B8/(1+$I$8)^B8</f>
        <v>1.18252427184466</v>
      </c>
      <c r="C7" s="18">
        <f t="shared" ref="C7:F7" si="0">+$I$6*(1+$I$7)^C8/(1+$I$8)^C8</f>
        <v>1.1653030445847861</v>
      </c>
      <c r="D7" s="18">
        <f t="shared" si="0"/>
        <v>1.1483326118966581</v>
      </c>
      <c r="E7" s="18">
        <f t="shared" si="0"/>
        <v>1.1316093214321437</v>
      </c>
      <c r="F7" s="18">
        <f t="shared" si="0"/>
        <v>1.1151295740326463</v>
      </c>
      <c r="H7" s="2" t="s">
        <v>66</v>
      </c>
      <c r="I7" s="35">
        <v>1.4999999999999999E-2</v>
      </c>
    </row>
    <row r="8" spans="1:9" x14ac:dyDescent="0.3">
      <c r="A8" s="2">
        <v>0</v>
      </c>
      <c r="B8" s="2">
        <v>1</v>
      </c>
      <c r="C8" s="2">
        <v>2</v>
      </c>
      <c r="D8" s="2">
        <v>3</v>
      </c>
      <c r="E8" s="2">
        <v>4</v>
      </c>
      <c r="F8" s="2">
        <v>5</v>
      </c>
      <c r="H8" s="2" t="s">
        <v>66</v>
      </c>
      <c r="I8" s="17">
        <v>0.03</v>
      </c>
    </row>
    <row r="9" spans="1:9" x14ac:dyDescent="0.3">
      <c r="A9" s="6" t="s">
        <v>12</v>
      </c>
      <c r="B9" s="6">
        <v>2014</v>
      </c>
      <c r="C9" s="6">
        <v>2015</v>
      </c>
      <c r="D9" s="6">
        <v>2016</v>
      </c>
      <c r="E9" s="6">
        <v>2017</v>
      </c>
      <c r="F9" s="6">
        <v>2018</v>
      </c>
      <c r="H9" s="2" t="s">
        <v>59</v>
      </c>
      <c r="I9" s="31">
        <v>0.03</v>
      </c>
    </row>
    <row r="10" spans="1:9" x14ac:dyDescent="0.3">
      <c r="A10" s="2" t="s">
        <v>2</v>
      </c>
      <c r="B10" s="15">
        <f>+B3*B4</f>
        <v>12949126.213592235</v>
      </c>
      <c r="C10" s="15">
        <f t="shared" ref="C10:F10" si="1">+C3*C4</f>
        <v>13096080.686209826</v>
      </c>
      <c r="D10" s="15">
        <f t="shared" si="1"/>
        <v>13240895.045148518</v>
      </c>
      <c r="E10" s="15">
        <f t="shared" si="1"/>
        <v>13383600.457112374</v>
      </c>
      <c r="F10" s="15">
        <f t="shared" si="1"/>
        <v>13524227.634921417</v>
      </c>
      <c r="H10" s="2" t="s">
        <v>54</v>
      </c>
      <c r="I10" s="31">
        <v>0.15</v>
      </c>
    </row>
    <row r="11" spans="1:9" x14ac:dyDescent="0.3">
      <c r="A11" s="2" t="s">
        <v>3</v>
      </c>
      <c r="B11" s="15">
        <f>-B3*B5</f>
        <v>-9711844.6601941753</v>
      </c>
      <c r="C11" s="15">
        <f t="shared" ref="C11:F11" si="2">-C3*C5</f>
        <v>-9822060.5146573689</v>
      </c>
      <c r="D11" s="15">
        <f t="shared" si="2"/>
        <v>-9930671.2838613875</v>
      </c>
      <c r="E11" s="15">
        <f t="shared" si="2"/>
        <v>-10037700.342834279</v>
      </c>
      <c r="F11" s="15">
        <f t="shared" si="2"/>
        <v>-10143170.726191062</v>
      </c>
      <c r="H11" s="2" t="s">
        <v>51</v>
      </c>
      <c r="I11" s="2">
        <v>45</v>
      </c>
    </row>
    <row r="12" spans="1:9" x14ac:dyDescent="0.3">
      <c r="A12" s="2" t="s">
        <v>4</v>
      </c>
      <c r="B12" s="15">
        <v>-890000</v>
      </c>
      <c r="C12" s="15">
        <v>-890000</v>
      </c>
      <c r="D12" s="15">
        <v>-890000</v>
      </c>
      <c r="E12" s="15">
        <v>-890000</v>
      </c>
      <c r="F12" s="15">
        <v>-890000</v>
      </c>
      <c r="H12" s="2" t="s">
        <v>52</v>
      </c>
      <c r="I12" s="2">
        <v>10</v>
      </c>
    </row>
    <row r="13" spans="1:9" x14ac:dyDescent="0.3">
      <c r="A13" s="2" t="s">
        <v>5</v>
      </c>
      <c r="B13" s="15">
        <v>-600000</v>
      </c>
      <c r="C13" s="15">
        <v>-600000</v>
      </c>
      <c r="D13" s="15">
        <v>-600000</v>
      </c>
      <c r="E13" s="15">
        <v>-600000</v>
      </c>
      <c r="F13" s="15">
        <v>-600000</v>
      </c>
      <c r="H13" s="2" t="s">
        <v>53</v>
      </c>
      <c r="I13" s="2">
        <v>38</v>
      </c>
    </row>
    <row r="14" spans="1:9" x14ac:dyDescent="0.3">
      <c r="A14" s="2" t="s">
        <v>6</v>
      </c>
      <c r="B14" s="15">
        <f>SUM(B10:B13)</f>
        <v>1747281.5533980597</v>
      </c>
      <c r="C14" s="15">
        <f t="shared" ref="C14:F14" si="3">SUM(C10:C13)</f>
        <v>1784020.1715524569</v>
      </c>
      <c r="D14" s="15">
        <f t="shared" si="3"/>
        <v>1820223.7612871304</v>
      </c>
      <c r="E14" s="15">
        <f t="shared" si="3"/>
        <v>1855900.1142780948</v>
      </c>
      <c r="F14" s="15">
        <f t="shared" si="3"/>
        <v>1891056.9087303542</v>
      </c>
      <c r="H14" s="2" t="s">
        <v>67</v>
      </c>
      <c r="I14" s="2">
        <v>-0.8</v>
      </c>
    </row>
    <row r="15" spans="1:9" x14ac:dyDescent="0.3">
      <c r="A15" s="2" t="s">
        <v>13</v>
      </c>
      <c r="B15" s="15">
        <f>-B14*B6</f>
        <v>-515448.05825242755</v>
      </c>
      <c r="C15" s="15">
        <f t="shared" ref="C15:F15" si="4">-C14*C6</f>
        <v>-526285.95060797478</v>
      </c>
      <c r="D15" s="15">
        <f t="shared" si="4"/>
        <v>-536966.00957970344</v>
      </c>
      <c r="E15" s="15">
        <f t="shared" si="4"/>
        <v>-547490.53371203796</v>
      </c>
      <c r="F15" s="15">
        <f t="shared" si="4"/>
        <v>-557861.78807545442</v>
      </c>
    </row>
    <row r="16" spans="1:9" x14ac:dyDescent="0.3">
      <c r="A16" s="2" t="s">
        <v>14</v>
      </c>
      <c r="B16" s="15">
        <f>+B14+B15</f>
        <v>1231833.4951456322</v>
      </c>
      <c r="C16" s="15">
        <f t="shared" ref="C16:F16" si="5">+C14+C15</f>
        <v>1257734.2209444821</v>
      </c>
      <c r="D16" s="15">
        <f t="shared" si="5"/>
        <v>1283257.751707427</v>
      </c>
      <c r="E16" s="15">
        <f t="shared" si="5"/>
        <v>1308409.580566057</v>
      </c>
      <c r="F16" s="15">
        <f t="shared" si="5"/>
        <v>1333195.1206548996</v>
      </c>
    </row>
    <row r="17" spans="1:6" x14ac:dyDescent="0.3">
      <c r="A17" s="6" t="s">
        <v>15</v>
      </c>
      <c r="B17" s="6">
        <v>2014</v>
      </c>
      <c r="C17" s="6">
        <v>2015</v>
      </c>
      <c r="D17" s="6">
        <v>2016</v>
      </c>
      <c r="E17" s="6">
        <v>2017</v>
      </c>
      <c r="F17" s="6">
        <v>2018</v>
      </c>
    </row>
    <row r="18" spans="1:6" x14ac:dyDescent="0.3">
      <c r="A18" s="2" t="s">
        <v>14</v>
      </c>
      <c r="B18" s="15">
        <f>+B16</f>
        <v>1231833.4951456322</v>
      </c>
      <c r="C18" s="15">
        <f t="shared" ref="C18:F18" si="6">+C16</f>
        <v>1257734.2209444821</v>
      </c>
      <c r="D18" s="15">
        <f t="shared" si="6"/>
        <v>1283257.751707427</v>
      </c>
      <c r="E18" s="15">
        <f t="shared" si="6"/>
        <v>1308409.580566057</v>
      </c>
      <c r="F18" s="15">
        <f t="shared" si="6"/>
        <v>1333195.1206548996</v>
      </c>
    </row>
    <row r="19" spans="1:6" x14ac:dyDescent="0.3">
      <c r="A19" s="2" t="s">
        <v>16</v>
      </c>
      <c r="B19" s="15">
        <f>-B13</f>
        <v>600000</v>
      </c>
      <c r="C19" s="15">
        <f t="shared" ref="C19:F19" si="7">-C13</f>
        <v>600000</v>
      </c>
      <c r="D19" s="15">
        <f t="shared" si="7"/>
        <v>600000</v>
      </c>
      <c r="E19" s="15">
        <f t="shared" si="7"/>
        <v>600000</v>
      </c>
      <c r="F19" s="15">
        <f t="shared" si="7"/>
        <v>600000</v>
      </c>
    </row>
    <row r="20" spans="1:6" x14ac:dyDescent="0.3">
      <c r="A20" s="2" t="s">
        <v>17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</row>
    <row r="21" spans="1:6" x14ac:dyDescent="0.3">
      <c r="A21" s="2" t="s">
        <v>18</v>
      </c>
      <c r="B21" s="19">
        <f>+B18+B19</f>
        <v>1831833.4951456322</v>
      </c>
      <c r="C21" s="19">
        <f t="shared" ref="C21:F21" si="8">+C18+C19</f>
        <v>1857734.2209444821</v>
      </c>
      <c r="D21" s="19">
        <f t="shared" si="8"/>
        <v>1883257.751707427</v>
      </c>
      <c r="E21" s="19">
        <f t="shared" si="8"/>
        <v>1908409.580566057</v>
      </c>
      <c r="F21" s="19">
        <f t="shared" si="8"/>
        <v>1933195.1206548996</v>
      </c>
    </row>
    <row r="22" spans="1:6" x14ac:dyDescent="0.3">
      <c r="A22" s="2" t="s">
        <v>19</v>
      </c>
      <c r="B22" s="15">
        <f>+B21*B7</f>
        <v>2166187.5699877474</v>
      </c>
      <c r="C22" s="15">
        <f t="shared" ref="C22:F22" si="9">+C21*C7</f>
        <v>2164823.3436959507</v>
      </c>
      <c r="D22" s="15">
        <f t="shared" si="9"/>
        <v>2162606.2928928179</v>
      </c>
      <c r="E22" s="15">
        <f t="shared" si="9"/>
        <v>2159574.0704789576</v>
      </c>
      <c r="F22" s="15">
        <f t="shared" si="9"/>
        <v>2155763.0514178886</v>
      </c>
    </row>
    <row r="23" spans="1:6" x14ac:dyDescent="0.3">
      <c r="A23" s="2" t="s">
        <v>49</v>
      </c>
      <c r="B23" s="15"/>
      <c r="C23" s="15"/>
      <c r="D23" s="15"/>
      <c r="E23" s="15"/>
      <c r="F23" s="15">
        <f>+F22*(1+$J$7)/(I10-I9)</f>
        <v>17964692.095149074</v>
      </c>
    </row>
    <row r="24" spans="1:6" x14ac:dyDescent="0.3">
      <c r="A24" s="10" t="s">
        <v>55</v>
      </c>
      <c r="B24" s="11">
        <f>NPV(0.15,B22:F22)+PV(0.15,5,0,-F23)</f>
        <v>16180673.255676018</v>
      </c>
      <c r="C24" s="10"/>
      <c r="D24" s="10"/>
      <c r="E24" s="10"/>
      <c r="F24" s="10"/>
    </row>
  </sheetData>
  <pageMargins left="0.7" right="0.7" top="0.75" bottom="0.75" header="0.3" footer="0.3"/>
  <tableParts count="2">
    <tablePart r:id="rId1"/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I6" sqref="I6"/>
    </sheetView>
  </sheetViews>
  <sheetFormatPr defaultRowHeight="14.4" x14ac:dyDescent="0.3"/>
  <cols>
    <col min="1" max="1" width="27" bestFit="1" customWidth="1"/>
    <col min="2" max="2" width="11.77734375" bestFit="1" customWidth="1"/>
    <col min="3" max="4" width="11" bestFit="1" customWidth="1"/>
    <col min="5" max="6" width="11.5546875" bestFit="1" customWidth="1"/>
    <col min="8" max="8" width="22.88671875" bestFit="1" customWidth="1"/>
    <col min="9" max="9" width="22.44140625" bestFit="1" customWidth="1"/>
    <col min="10" max="10" width="9.33203125" bestFit="1" customWidth="1"/>
  </cols>
  <sheetData>
    <row r="1" spans="1:9" x14ac:dyDescent="0.3">
      <c r="H1" s="32" t="s">
        <v>62</v>
      </c>
      <c r="I1" s="32" t="s">
        <v>56</v>
      </c>
    </row>
    <row r="2" spans="1:9" x14ac:dyDescent="0.3">
      <c r="A2" s="9" t="s">
        <v>7</v>
      </c>
      <c r="B2" s="13" t="s">
        <v>44</v>
      </c>
      <c r="C2" s="13" t="s">
        <v>45</v>
      </c>
      <c r="D2" s="13" t="s">
        <v>46</v>
      </c>
      <c r="E2" s="13" t="s">
        <v>47</v>
      </c>
      <c r="F2" s="13" t="s">
        <v>48</v>
      </c>
      <c r="H2" s="2" t="s">
        <v>1</v>
      </c>
      <c r="I2" s="28">
        <v>1000000</v>
      </c>
    </row>
    <row r="3" spans="1:9" x14ac:dyDescent="0.3">
      <c r="A3" s="14" t="s">
        <v>1</v>
      </c>
      <c r="B3" s="20">
        <f>+(1+(((($B$4*B7)/($B$4*1.2))-1)*(-0.8)))*$I$2</f>
        <v>945954.69255663431</v>
      </c>
      <c r="C3" s="20">
        <f t="shared" ref="C3:F3" si="0">+(1+(((($B$4*C7)/($B$4*1.2))-1)*(-0.8)))*$I$2</f>
        <v>958392.24557765434</v>
      </c>
      <c r="D3" s="20">
        <f t="shared" si="0"/>
        <v>970648.66918574693</v>
      </c>
      <c r="E3" s="20">
        <f t="shared" si="0"/>
        <v>982726.60118789633</v>
      </c>
      <c r="F3" s="20">
        <f t="shared" si="0"/>
        <v>994628.64097642212</v>
      </c>
      <c r="H3" s="2" t="s">
        <v>60</v>
      </c>
      <c r="I3" s="29">
        <v>12.8</v>
      </c>
    </row>
    <row r="4" spans="1:9" x14ac:dyDescent="0.3">
      <c r="A4" s="2" t="s">
        <v>8</v>
      </c>
      <c r="B4" s="16">
        <v>12.8</v>
      </c>
      <c r="C4" s="16">
        <v>12.8</v>
      </c>
      <c r="D4" s="16">
        <v>12.8</v>
      </c>
      <c r="E4" s="16">
        <v>12.8</v>
      </c>
      <c r="F4" s="16">
        <v>12.8</v>
      </c>
      <c r="H4" s="2" t="s">
        <v>57</v>
      </c>
      <c r="I4" s="29">
        <v>9.6</v>
      </c>
    </row>
    <row r="5" spans="1:9" x14ac:dyDescent="0.3">
      <c r="A5" s="14" t="s">
        <v>9</v>
      </c>
      <c r="B5" s="21">
        <v>9.6</v>
      </c>
      <c r="C5" s="21">
        <v>9.6</v>
      </c>
      <c r="D5" s="21">
        <v>9.6</v>
      </c>
      <c r="E5" s="21">
        <v>9.6</v>
      </c>
      <c r="F5" s="21">
        <v>9.6</v>
      </c>
      <c r="H5" s="2" t="s">
        <v>58</v>
      </c>
      <c r="I5" s="17">
        <v>0.29499999999999998</v>
      </c>
    </row>
    <row r="6" spans="1:9" x14ac:dyDescent="0.3">
      <c r="A6" s="2" t="s">
        <v>10</v>
      </c>
      <c r="B6" s="17">
        <v>0.29499999999999998</v>
      </c>
      <c r="C6" s="17">
        <v>0.29499999999999998</v>
      </c>
      <c r="D6" s="17">
        <v>0.29499999999999998</v>
      </c>
      <c r="E6" s="17">
        <v>0.29499999999999998</v>
      </c>
      <c r="F6" s="17">
        <v>0.29499999999999998</v>
      </c>
      <c r="H6" s="2" t="s">
        <v>61</v>
      </c>
      <c r="I6" s="30">
        <v>1.3</v>
      </c>
    </row>
    <row r="7" spans="1:9" x14ac:dyDescent="0.3">
      <c r="A7" s="14" t="s">
        <v>11</v>
      </c>
      <c r="B7" s="22">
        <f>+$I$6*(1+$I$7)^B8/(1+$I$8)^B8</f>
        <v>1.2810679611650484</v>
      </c>
      <c r="C7" s="22">
        <f t="shared" ref="C7:F7" si="1">+$I$6*(1+$I$7)^C8/(1+$I$8)^C8</f>
        <v>1.2624116316335185</v>
      </c>
      <c r="D7" s="22">
        <f t="shared" si="1"/>
        <v>1.2440269962213795</v>
      </c>
      <c r="E7" s="22">
        <f t="shared" si="1"/>
        <v>1.2259100982181554</v>
      </c>
      <c r="F7" s="22">
        <f t="shared" si="1"/>
        <v>1.2080570385353668</v>
      </c>
      <c r="H7" s="2" t="s">
        <v>66</v>
      </c>
      <c r="I7" s="35">
        <v>1.4999999999999999E-2</v>
      </c>
    </row>
    <row r="8" spans="1:9" x14ac:dyDescent="0.3">
      <c r="A8" s="2">
        <v>0</v>
      </c>
      <c r="B8" s="2">
        <v>1</v>
      </c>
      <c r="C8" s="2">
        <v>2</v>
      </c>
      <c r="D8" s="2">
        <v>3</v>
      </c>
      <c r="E8" s="2">
        <v>4</v>
      </c>
      <c r="F8" s="2">
        <v>5</v>
      </c>
      <c r="H8" s="2" t="s">
        <v>66</v>
      </c>
      <c r="I8" s="17">
        <v>0.03</v>
      </c>
    </row>
    <row r="9" spans="1:9" x14ac:dyDescent="0.3">
      <c r="A9" s="7" t="s">
        <v>12</v>
      </c>
      <c r="B9" s="7">
        <v>2014</v>
      </c>
      <c r="C9" s="7">
        <v>2015</v>
      </c>
      <c r="D9" s="7">
        <v>2016</v>
      </c>
      <c r="E9" s="7">
        <v>2017</v>
      </c>
      <c r="F9" s="7">
        <v>2018</v>
      </c>
      <c r="H9" s="2" t="s">
        <v>59</v>
      </c>
      <c r="I9" s="31">
        <v>0.03</v>
      </c>
    </row>
    <row r="10" spans="1:9" x14ac:dyDescent="0.3">
      <c r="A10" s="2" t="s">
        <v>2</v>
      </c>
      <c r="B10" s="15">
        <f>+B3*B4</f>
        <v>12108220.06472492</v>
      </c>
      <c r="C10" s="15">
        <f t="shared" ref="C10:F10" si="2">+C3*C4</f>
        <v>12267420.743393976</v>
      </c>
      <c r="D10" s="15">
        <f t="shared" si="2"/>
        <v>12424302.965577561</v>
      </c>
      <c r="E10" s="15">
        <f t="shared" si="2"/>
        <v>12578900.495205075</v>
      </c>
      <c r="F10" s="15">
        <f t="shared" si="2"/>
        <v>12731246.604498204</v>
      </c>
      <c r="H10" s="2" t="s">
        <v>54</v>
      </c>
      <c r="I10" s="31">
        <v>0.15</v>
      </c>
    </row>
    <row r="11" spans="1:9" x14ac:dyDescent="0.3">
      <c r="A11" s="14" t="s">
        <v>3</v>
      </c>
      <c r="B11" s="20">
        <f>-B3*B5</f>
        <v>-9081165.0485436898</v>
      </c>
      <c r="C11" s="20">
        <f t="shared" ref="C11:F11" si="3">-C3*C5</f>
        <v>-9200565.5575454812</v>
      </c>
      <c r="D11" s="20">
        <f t="shared" si="3"/>
        <v>-9318227.2241831701</v>
      </c>
      <c r="E11" s="20">
        <f t="shared" si="3"/>
        <v>-9434175.371403804</v>
      </c>
      <c r="F11" s="20">
        <f t="shared" si="3"/>
        <v>-9548434.953373652</v>
      </c>
      <c r="H11" s="2" t="s">
        <v>51</v>
      </c>
      <c r="I11" s="2">
        <v>45</v>
      </c>
    </row>
    <row r="12" spans="1:9" x14ac:dyDescent="0.3">
      <c r="A12" s="2" t="s">
        <v>4</v>
      </c>
      <c r="B12" s="15">
        <v>-890000</v>
      </c>
      <c r="C12" s="15">
        <v>-890000</v>
      </c>
      <c r="D12" s="15">
        <v>-890000</v>
      </c>
      <c r="E12" s="15">
        <v>-890000</v>
      </c>
      <c r="F12" s="15">
        <v>-890000</v>
      </c>
      <c r="H12" s="2" t="s">
        <v>52</v>
      </c>
      <c r="I12" s="2">
        <v>10</v>
      </c>
    </row>
    <row r="13" spans="1:9" x14ac:dyDescent="0.3">
      <c r="A13" s="14" t="s">
        <v>5</v>
      </c>
      <c r="B13" s="20">
        <v>-600000</v>
      </c>
      <c r="C13" s="20">
        <v>-600000</v>
      </c>
      <c r="D13" s="20">
        <v>-600000</v>
      </c>
      <c r="E13" s="20">
        <v>-600000</v>
      </c>
      <c r="F13" s="20">
        <v>-600000</v>
      </c>
      <c r="H13" s="2" t="s">
        <v>53</v>
      </c>
      <c r="I13" s="2">
        <v>38</v>
      </c>
    </row>
    <row r="14" spans="1:9" x14ac:dyDescent="0.3">
      <c r="A14" s="2" t="s">
        <v>6</v>
      </c>
      <c r="B14" s="15">
        <f>SUM(B10:B13)</f>
        <v>1537055.0161812305</v>
      </c>
      <c r="C14" s="15">
        <f t="shared" ref="C14:F14" si="4">SUM(C10:C13)</f>
        <v>1576855.185848495</v>
      </c>
      <c r="D14" s="15">
        <f t="shared" si="4"/>
        <v>1616075.7413943913</v>
      </c>
      <c r="E14" s="15">
        <f t="shared" si="4"/>
        <v>1654725.1238012705</v>
      </c>
      <c r="F14" s="15">
        <f t="shared" si="4"/>
        <v>1692811.6511245519</v>
      </c>
      <c r="H14" s="2" t="s">
        <v>67</v>
      </c>
      <c r="I14" s="2">
        <v>-0.8</v>
      </c>
    </row>
    <row r="15" spans="1:9" x14ac:dyDescent="0.3">
      <c r="A15" s="14" t="s">
        <v>13</v>
      </c>
      <c r="B15" s="20">
        <f>-B14*B6</f>
        <v>-453431.22977346298</v>
      </c>
      <c r="C15" s="20">
        <f t="shared" ref="C15:F15" si="5">-C14*C6</f>
        <v>-465172.27982530597</v>
      </c>
      <c r="D15" s="20">
        <f t="shared" si="5"/>
        <v>-476742.3437113454</v>
      </c>
      <c r="E15" s="20">
        <f t="shared" si="5"/>
        <v>-488143.91152137477</v>
      </c>
      <c r="F15" s="20">
        <f t="shared" si="5"/>
        <v>-499379.4370817428</v>
      </c>
    </row>
    <row r="16" spans="1:9" x14ac:dyDescent="0.3">
      <c r="A16" s="2" t="s">
        <v>14</v>
      </c>
      <c r="B16" s="15">
        <f>+B14+B15</f>
        <v>1083623.7864077676</v>
      </c>
      <c r="C16" s="15">
        <f t="shared" ref="C16:F16" si="6">+C14+C15</f>
        <v>1111682.906023189</v>
      </c>
      <c r="D16" s="15">
        <f t="shared" si="6"/>
        <v>1139333.3976830458</v>
      </c>
      <c r="E16" s="15">
        <f t="shared" si="6"/>
        <v>1166581.2122798958</v>
      </c>
      <c r="F16" s="15">
        <f t="shared" si="6"/>
        <v>1193432.2140428091</v>
      </c>
    </row>
    <row r="17" spans="1:6" x14ac:dyDescent="0.3">
      <c r="A17" s="7" t="s">
        <v>15</v>
      </c>
      <c r="B17" s="7">
        <v>2014</v>
      </c>
      <c r="C17" s="7">
        <v>2015</v>
      </c>
      <c r="D17" s="7">
        <v>2016</v>
      </c>
      <c r="E17" s="7">
        <v>2017</v>
      </c>
      <c r="F17" s="7">
        <v>2018</v>
      </c>
    </row>
    <row r="18" spans="1:6" x14ac:dyDescent="0.3">
      <c r="A18" s="2" t="s">
        <v>14</v>
      </c>
      <c r="B18" s="15">
        <f>+B16</f>
        <v>1083623.7864077676</v>
      </c>
      <c r="C18" s="15">
        <f t="shared" ref="C18:F18" si="7">+C16</f>
        <v>1111682.906023189</v>
      </c>
      <c r="D18" s="15">
        <f t="shared" si="7"/>
        <v>1139333.3976830458</v>
      </c>
      <c r="E18" s="15">
        <f t="shared" si="7"/>
        <v>1166581.2122798958</v>
      </c>
      <c r="F18" s="15">
        <f t="shared" si="7"/>
        <v>1193432.2140428091</v>
      </c>
    </row>
    <row r="19" spans="1:6" x14ac:dyDescent="0.3">
      <c r="A19" s="14" t="s">
        <v>16</v>
      </c>
      <c r="B19" s="20">
        <f>-B13</f>
        <v>600000</v>
      </c>
      <c r="C19" s="20">
        <f t="shared" ref="C19:F19" si="8">-C13</f>
        <v>600000</v>
      </c>
      <c r="D19" s="20">
        <f t="shared" si="8"/>
        <v>600000</v>
      </c>
      <c r="E19" s="20">
        <f t="shared" si="8"/>
        <v>600000</v>
      </c>
      <c r="F19" s="20">
        <f t="shared" si="8"/>
        <v>600000</v>
      </c>
    </row>
    <row r="20" spans="1:6" x14ac:dyDescent="0.3">
      <c r="A20" s="2" t="s">
        <v>17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</row>
    <row r="21" spans="1:6" x14ac:dyDescent="0.3">
      <c r="A21" s="14" t="s">
        <v>18</v>
      </c>
      <c r="B21" s="23">
        <f>+B18+B19</f>
        <v>1683623.7864077676</v>
      </c>
      <c r="C21" s="23">
        <f t="shared" ref="C21:F21" si="9">+C18+C19</f>
        <v>1711682.906023189</v>
      </c>
      <c r="D21" s="23">
        <f t="shared" si="9"/>
        <v>1739333.3976830458</v>
      </c>
      <c r="E21" s="23">
        <f t="shared" si="9"/>
        <v>1766581.2122798958</v>
      </c>
      <c r="F21" s="23">
        <f t="shared" si="9"/>
        <v>1793432.2140428091</v>
      </c>
    </row>
    <row r="22" spans="1:6" x14ac:dyDescent="0.3">
      <c r="A22" s="2" t="s">
        <v>19</v>
      </c>
      <c r="B22" s="15">
        <f>+B21*B7</f>
        <v>2156836.4914223775</v>
      </c>
      <c r="C22" s="15">
        <f t="shared" ref="C22:F22" si="10">+C21*C7</f>
        <v>2160848.4102319367</v>
      </c>
      <c r="D22" s="15">
        <f t="shared" si="10"/>
        <v>2163777.7021471658</v>
      </c>
      <c r="E22" s="15">
        <f t="shared" si="10"/>
        <v>2165669.7474563951</v>
      </c>
      <c r="F22" s="15">
        <f t="shared" si="10"/>
        <v>2166568.409310482</v>
      </c>
    </row>
    <row r="23" spans="1:6" x14ac:dyDescent="0.3">
      <c r="A23" s="14" t="s">
        <v>49</v>
      </c>
      <c r="B23" s="20"/>
      <c r="C23" s="20"/>
      <c r="D23" s="20"/>
      <c r="E23" s="20"/>
      <c r="F23" s="20">
        <f>+F22*(1+$I$7)/(I10-I9)</f>
        <v>18325557.795417827</v>
      </c>
    </row>
    <row r="24" spans="1:6" x14ac:dyDescent="0.3">
      <c r="A24" s="10" t="s">
        <v>55</v>
      </c>
      <c r="B24" s="11">
        <f>NPV(0.15,B22:F22)+PV(0.15,5,0,-F23)</f>
        <v>16358577.909240749</v>
      </c>
      <c r="C24" s="10"/>
      <c r="D24" s="10"/>
      <c r="E24" s="10"/>
      <c r="F24" s="10"/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tabSelected="1" workbookViewId="0">
      <selection sqref="A1:H7"/>
    </sheetView>
  </sheetViews>
  <sheetFormatPr defaultRowHeight="14.4" x14ac:dyDescent="0.3"/>
  <cols>
    <col min="1" max="1" width="21.77734375" bestFit="1" customWidth="1"/>
    <col min="2" max="2" width="15.5546875" bestFit="1" customWidth="1"/>
    <col min="3" max="3" width="7.33203125" bestFit="1" customWidth="1"/>
    <col min="4" max="4" width="10" bestFit="1" customWidth="1"/>
    <col min="5" max="5" width="6.88671875" bestFit="1" customWidth="1"/>
    <col min="6" max="6" width="11.44140625" bestFit="1" customWidth="1"/>
    <col min="7" max="7" width="13.6640625" customWidth="1"/>
    <col min="8" max="8" width="11.44140625" bestFit="1" customWidth="1"/>
  </cols>
  <sheetData>
    <row r="1" spans="1:8" ht="46.8" x14ac:dyDescent="0.3">
      <c r="A1" s="4" t="s">
        <v>28</v>
      </c>
      <c r="B1" s="37" t="s">
        <v>35</v>
      </c>
      <c r="C1" s="37" t="s">
        <v>36</v>
      </c>
      <c r="D1" s="37" t="s">
        <v>37</v>
      </c>
      <c r="E1" s="37" t="s">
        <v>38</v>
      </c>
      <c r="F1" s="37" t="s">
        <v>39</v>
      </c>
      <c r="G1" s="37" t="s">
        <v>40</v>
      </c>
      <c r="H1" s="37" t="s">
        <v>41</v>
      </c>
    </row>
    <row r="2" spans="1:8" x14ac:dyDescent="0.3">
      <c r="A2" s="2" t="s">
        <v>29</v>
      </c>
      <c r="B2" s="2"/>
      <c r="C2" s="2"/>
      <c r="D2" s="2"/>
      <c r="E2" s="2"/>
      <c r="F2" s="2"/>
      <c r="G2" s="2"/>
      <c r="H2" s="2"/>
    </row>
    <row r="3" spans="1:8" x14ac:dyDescent="0.3">
      <c r="A3" s="2" t="s">
        <v>30</v>
      </c>
      <c r="B3" s="18">
        <v>1.2</v>
      </c>
      <c r="C3" s="25">
        <v>12.8</v>
      </c>
      <c r="D3" s="15">
        <v>1000000</v>
      </c>
      <c r="E3" s="25">
        <v>9.6</v>
      </c>
      <c r="F3" s="3">
        <f>+'Base Case'!C24</f>
        <v>16509058.14516101</v>
      </c>
      <c r="G3" s="2"/>
      <c r="H3" s="2"/>
    </row>
    <row r="4" spans="1:8" x14ac:dyDescent="0.3">
      <c r="A4" s="2" t="s">
        <v>31</v>
      </c>
      <c r="B4" s="18">
        <v>1</v>
      </c>
      <c r="C4" s="25">
        <v>12.8</v>
      </c>
      <c r="D4" s="15">
        <v>1000000</v>
      </c>
      <c r="E4" s="25">
        <v>9.6</v>
      </c>
      <c r="F4" s="3">
        <f>+Case_1!C24</f>
        <v>13757548.454300839</v>
      </c>
      <c r="G4" s="3">
        <f>+F4-$F$3</f>
        <v>-2751509.6908601709</v>
      </c>
      <c r="H4" s="38">
        <f>+G4/$F$3</f>
        <v>-0.16666666666666682</v>
      </c>
    </row>
    <row r="5" spans="1:8" x14ac:dyDescent="0.3">
      <c r="A5" s="2" t="s">
        <v>32</v>
      </c>
      <c r="B5" s="18">
        <v>1</v>
      </c>
      <c r="C5" s="25">
        <v>12.8</v>
      </c>
      <c r="D5" s="15">
        <v>1400000</v>
      </c>
      <c r="E5" s="25">
        <v>9.6</v>
      </c>
      <c r="F5" s="3">
        <f>+Case_2!C25</f>
        <v>20340719.653719217</v>
      </c>
      <c r="G5" s="3">
        <f t="shared" ref="G5:G7" si="0">+F5-$F$3</f>
        <v>3831661.5085582063</v>
      </c>
      <c r="H5" s="38">
        <f t="shared" ref="H5:H7" si="1">+G5/$F$3</f>
        <v>0.23209449472326857</v>
      </c>
    </row>
    <row r="6" spans="1:8" x14ac:dyDescent="0.3">
      <c r="A6" s="2" t="s">
        <v>33</v>
      </c>
      <c r="B6" s="18">
        <v>1</v>
      </c>
      <c r="C6" s="25">
        <v>15.6</v>
      </c>
      <c r="D6" s="15">
        <v>1000000</v>
      </c>
      <c r="E6" s="25">
        <v>9.6</v>
      </c>
      <c r="F6" s="3">
        <f>+Case_3!C25</f>
        <v>27234933.14021324</v>
      </c>
      <c r="G6" s="3">
        <f t="shared" si="0"/>
        <v>10725874.99505223</v>
      </c>
      <c r="H6" s="38">
        <f t="shared" si="1"/>
        <v>0.64969636067313163</v>
      </c>
    </row>
    <row r="7" spans="1:8" x14ac:dyDescent="0.3">
      <c r="A7" s="2" t="s">
        <v>34</v>
      </c>
      <c r="B7" s="18">
        <v>1</v>
      </c>
      <c r="C7" s="25">
        <v>14.08</v>
      </c>
      <c r="D7" s="15">
        <v>1100000</v>
      </c>
      <c r="E7" s="25">
        <v>10</v>
      </c>
      <c r="F7" s="3">
        <f>+Case_4!C25</f>
        <v>20481657.207485691</v>
      </c>
      <c r="G7" s="3">
        <f t="shared" si="0"/>
        <v>3972599.0623246804</v>
      </c>
      <c r="H7" s="38">
        <f t="shared" si="1"/>
        <v>0.24063147802826618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Base Case</vt:lpstr>
      <vt:lpstr>Case_1</vt:lpstr>
      <vt:lpstr>Case_2</vt:lpstr>
      <vt:lpstr>Case_3</vt:lpstr>
      <vt:lpstr>Case_4</vt:lpstr>
      <vt:lpstr>Base Case (R)</vt:lpstr>
      <vt:lpstr>EUR Depreciation</vt:lpstr>
      <vt:lpstr>Sheet6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Aybar, Bulent</dc:creator>
  <cp:lastModifiedBy>Aybar, Bulent</cp:lastModifiedBy>
  <dcterms:created xsi:type="dcterms:W3CDTF">2017-12-04T04:20:23Z</dcterms:created>
  <dcterms:modified xsi:type="dcterms:W3CDTF">2020-03-21T17:39:08Z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{4CB81AD9-E824-4B46-9E9E-748FF2A30C86}</vt:lpwstr>
  </property>
</Properties>
</file>