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MBF15e Next\Problems and Solutions\"/>
    </mc:Choice>
  </mc:AlternateContent>
  <bookViews>
    <workbookView xWindow="120" yWindow="15" windowWidth="11700" windowHeight="6540"/>
  </bookViews>
  <sheets>
    <sheet name="Pbm10.1" sheetId="24" r:id="rId1"/>
    <sheet name="Pbm10.2" sheetId="8" r:id="rId2"/>
    <sheet name="Pbm10.3" sheetId="34" r:id="rId3"/>
    <sheet name="Pbm10.4" sheetId="35" r:id="rId4"/>
    <sheet name="Pbm10.5" sheetId="19" r:id="rId5"/>
    <sheet name="Pbm10.6" sheetId="18" r:id="rId6"/>
    <sheet name="Pbm10.7" sheetId="7" r:id="rId7"/>
    <sheet name="Pbm10.8" sheetId="21" r:id="rId8"/>
    <sheet name="Pbm10.9" sheetId="25" r:id="rId9"/>
    <sheet name="Pbm10.10" sheetId="17" r:id="rId10"/>
    <sheet name="Pbm10.11" sheetId="6" r:id="rId11"/>
    <sheet name="Pbm10.12" sheetId="1" r:id="rId12"/>
    <sheet name="Pbm10.13" sheetId="33" r:id="rId13"/>
    <sheet name="Pbm10.14" sheetId="2" r:id="rId14"/>
    <sheet name="Pbm10.15" sheetId="15" r:id="rId15"/>
    <sheet name="Pbm10.16" sheetId="5" r:id="rId16"/>
    <sheet name="Pbm10.17" sheetId="47" r:id="rId17"/>
    <sheet name="Pbm10.18" sheetId="48" r:id="rId18"/>
    <sheet name="Pbm10.18b" sheetId="49" r:id="rId19"/>
  </sheets>
  <calcPr calcId="162913"/>
</workbook>
</file>

<file path=xl/calcChain.xml><?xml version="1.0" encoding="utf-8"?>
<calcChain xmlns="http://schemas.openxmlformats.org/spreadsheetml/2006/main">
  <c r="F12" i="7" l="1"/>
  <c r="F11" i="7"/>
  <c r="F10" i="7"/>
  <c r="G35" i="49"/>
  <c r="G18" i="49"/>
  <c r="C18" i="49"/>
  <c r="C29" i="49" s="1"/>
  <c r="C34" i="49" s="1"/>
  <c r="C35" i="49" s="1"/>
  <c r="K35" i="49" s="1"/>
  <c r="D36" i="48"/>
  <c r="F31" i="48"/>
  <c r="D31" i="48"/>
  <c r="J20" i="48"/>
  <c r="J36" i="48" s="1"/>
  <c r="H20" i="48"/>
  <c r="H30" i="48"/>
  <c r="F20" i="48"/>
  <c r="F36" i="48" s="1"/>
  <c r="F60" i="47"/>
  <c r="F59" i="47"/>
  <c r="H58" i="47"/>
  <c r="H59" i="47" s="1"/>
  <c r="H60" i="47" s="1"/>
  <c r="H61" i="47" s="1"/>
  <c r="F53" i="47"/>
  <c r="F52" i="47"/>
  <c r="H51" i="47"/>
  <c r="F44" i="47"/>
  <c r="H44" i="47" s="1"/>
  <c r="H45" i="47" s="1"/>
  <c r="F43" i="47"/>
  <c r="H43" i="47"/>
  <c r="F38" i="47"/>
  <c r="H38" i="47" s="1"/>
  <c r="F37" i="47"/>
  <c r="H37" i="47"/>
  <c r="J30" i="48"/>
  <c r="J31" i="48" s="1"/>
  <c r="H52" i="47"/>
  <c r="H53" i="47"/>
  <c r="H54" i="47" s="1"/>
  <c r="H31" i="48"/>
  <c r="H41" i="48"/>
  <c r="D33" i="48"/>
  <c r="D34" i="48" s="1"/>
  <c r="D37" i="48" s="1"/>
  <c r="F33" i="48"/>
  <c r="F34" i="48"/>
  <c r="F37" i="48" s="1"/>
  <c r="H33" i="48"/>
  <c r="H34" i="48"/>
  <c r="H37" i="48" s="1"/>
  <c r="D59" i="25"/>
  <c r="F75" i="7"/>
  <c r="D64" i="8"/>
  <c r="D42" i="8"/>
  <c r="D36" i="34"/>
  <c r="D38" i="34"/>
  <c r="D41" i="34"/>
  <c r="D37" i="34"/>
  <c r="D40" i="34"/>
  <c r="D26" i="34"/>
  <c r="D27" i="34"/>
  <c r="D30" i="34"/>
  <c r="D32" i="34"/>
  <c r="D40" i="1"/>
  <c r="D41" i="1"/>
  <c r="D43" i="1" s="1"/>
  <c r="D42" i="1"/>
  <c r="D36" i="1"/>
  <c r="D34" i="1"/>
  <c r="D32" i="1"/>
  <c r="D30" i="1"/>
  <c r="D58" i="25"/>
  <c r="D60" i="25"/>
  <c r="D62" i="25" s="1"/>
  <c r="D61" i="25"/>
  <c r="D64" i="25"/>
  <c r="D65" i="25" s="1"/>
  <c r="D50" i="25"/>
  <c r="D43" i="25"/>
  <c r="D41" i="25"/>
  <c r="F41" i="6"/>
  <c r="D41" i="6"/>
  <c r="D24" i="6"/>
  <c r="D25" i="6"/>
  <c r="D26" i="6" s="1"/>
  <c r="D27" i="6"/>
  <c r="D32" i="6"/>
  <c r="F24" i="6"/>
  <c r="F26" i="6" s="1"/>
  <c r="F25" i="6"/>
  <c r="F27" i="6"/>
  <c r="F32" i="6"/>
  <c r="F48" i="6"/>
  <c r="D48" i="6"/>
  <c r="D37" i="2"/>
  <c r="D36" i="2"/>
  <c r="D38" i="2" s="1"/>
  <c r="D56" i="2"/>
  <c r="D61" i="2"/>
  <c r="D57" i="2"/>
  <c r="D58" i="2"/>
  <c r="D47" i="2"/>
  <c r="D48" i="2"/>
  <c r="D50" i="2"/>
  <c r="D52" i="2"/>
  <c r="D43" i="2"/>
  <c r="D42" i="2"/>
  <c r="D44" i="2" s="1"/>
  <c r="D32" i="2"/>
  <c r="D34" i="2" s="1"/>
  <c r="F30" i="33"/>
  <c r="F47" i="33"/>
  <c r="F49" i="33" s="1"/>
  <c r="F48" i="33"/>
  <c r="F40" i="33"/>
  <c r="F39" i="33"/>
  <c r="F41" i="33" s="1"/>
  <c r="F31" i="33"/>
  <c r="F32" i="33"/>
  <c r="F61" i="15"/>
  <c r="F49" i="15"/>
  <c r="F50" i="15"/>
  <c r="F51" i="15"/>
  <c r="F53" i="15"/>
  <c r="D61" i="15"/>
  <c r="D49" i="15"/>
  <c r="D50" i="15"/>
  <c r="D52" i="15" s="1"/>
  <c r="D54" i="15" s="1"/>
  <c r="D51" i="15"/>
  <c r="D53" i="15"/>
  <c r="F48" i="15"/>
  <c r="F56" i="15" s="1"/>
  <c r="D48" i="15"/>
  <c r="D56" i="15"/>
  <c r="F38" i="15"/>
  <c r="F39" i="15"/>
  <c r="F40" i="15" s="1"/>
  <c r="F42" i="15" s="1"/>
  <c r="F45" i="15" s="1"/>
  <c r="D41" i="15"/>
  <c r="D34" i="15"/>
  <c r="D30" i="15"/>
  <c r="F30" i="15" s="1"/>
  <c r="D29" i="15"/>
  <c r="F29" i="15"/>
  <c r="D28" i="15"/>
  <c r="F28" i="15" s="1"/>
  <c r="F44" i="15"/>
  <c r="F34" i="15"/>
  <c r="H73" i="5"/>
  <c r="F73" i="5"/>
  <c r="F62" i="5"/>
  <c r="F67" i="5"/>
  <c r="F68" i="5"/>
  <c r="F69" i="5" s="1"/>
  <c r="H62" i="5"/>
  <c r="H67" i="5"/>
  <c r="H69" i="5"/>
  <c r="F64" i="5"/>
  <c r="H63" i="5"/>
  <c r="H64" i="5"/>
  <c r="H65" i="5"/>
  <c r="H52" i="5"/>
  <c r="H53" i="5"/>
  <c r="H54" i="5" s="1"/>
  <c r="H56" i="5" s="1"/>
  <c r="H58" i="5" s="1"/>
  <c r="H55" i="5"/>
  <c r="H57" i="5"/>
  <c r="H44" i="5"/>
  <c r="F44" i="5"/>
  <c r="F52" i="5"/>
  <c r="F54" i="5" s="1"/>
  <c r="F56" i="5" s="1"/>
  <c r="F58" i="5" s="1"/>
  <c r="F53" i="5"/>
  <c r="F57" i="5"/>
  <c r="F55" i="5"/>
  <c r="F45" i="5"/>
  <c r="F46" i="5" s="1"/>
  <c r="F48" i="5" s="1"/>
  <c r="F47" i="5"/>
  <c r="H45" i="5"/>
  <c r="H46" i="5"/>
  <c r="H48" i="5" s="1"/>
  <c r="D48" i="35"/>
  <c r="D50" i="35" s="1"/>
  <c r="D15" i="35"/>
  <c r="D49" i="35"/>
  <c r="D53" i="35"/>
  <c r="D38" i="35"/>
  <c r="D40" i="35"/>
  <c r="D43" i="35" s="1"/>
  <c r="D45" i="35" s="1"/>
  <c r="D39" i="35"/>
  <c r="D44" i="35"/>
  <c r="F35" i="35"/>
  <c r="D35" i="35"/>
  <c r="F31" i="35"/>
  <c r="D31" i="35"/>
  <c r="F29" i="35"/>
  <c r="D29" i="35"/>
  <c r="D47" i="24"/>
  <c r="D43" i="24"/>
  <c r="D45" i="24" s="1"/>
  <c r="D48" i="24" s="1"/>
  <c r="D44" i="24"/>
  <c r="D34" i="24"/>
  <c r="D35" i="24" s="1"/>
  <c r="D36" i="24" s="1"/>
  <c r="D39" i="24" s="1"/>
  <c r="D38" i="24"/>
  <c r="F15" i="19"/>
  <c r="D42" i="19"/>
  <c r="D31" i="19"/>
  <c r="D28" i="19"/>
  <c r="D40" i="19"/>
  <c r="D34" i="19"/>
  <c r="D28" i="18"/>
  <c r="D29" i="18"/>
  <c r="D30" i="18" s="1"/>
  <c r="D21" i="18"/>
  <c r="F30" i="8"/>
  <c r="F31" i="8" s="1"/>
  <c r="D30" i="8"/>
  <c r="D31" i="8" s="1"/>
  <c r="D19" i="8"/>
  <c r="D41" i="8" s="1"/>
  <c r="D43" i="8" s="1"/>
  <c r="D65" i="8"/>
  <c r="D58" i="8"/>
  <c r="D56" i="8"/>
  <c r="D54" i="8"/>
  <c r="D53" i="8"/>
  <c r="D55" i="8" s="1"/>
  <c r="D57" i="8" s="1"/>
  <c r="D59" i="8" s="1"/>
  <c r="D48" i="8"/>
  <c r="D38" i="8"/>
  <c r="D60" i="17"/>
  <c r="D55" i="17"/>
  <c r="D54" i="17"/>
  <c r="D56" i="17" s="1"/>
  <c r="D59" i="17" s="1"/>
  <c r="D62" i="17" s="1"/>
  <c r="D58" i="17"/>
  <c r="D51" i="17"/>
  <c r="D49" i="17"/>
  <c r="D45" i="17"/>
  <c r="D43" i="17"/>
  <c r="D41" i="17"/>
  <c r="D39" i="17"/>
  <c r="D28" i="17"/>
  <c r="F21" i="21"/>
  <c r="H36" i="21"/>
  <c r="H41" i="21" s="1"/>
  <c r="H42" i="21" s="1"/>
  <c r="F35" i="21"/>
  <c r="F40" i="21" s="1"/>
  <c r="F42" i="21" s="1"/>
  <c r="D34" i="21"/>
  <c r="D39" i="21" s="1"/>
  <c r="D42" i="21" s="1"/>
  <c r="F19" i="21"/>
  <c r="F20" i="21"/>
  <c r="F79" i="7"/>
  <c r="F84" i="7" s="1"/>
  <c r="F86" i="7" s="1"/>
  <c r="F80" i="7"/>
  <c r="F81" i="7"/>
  <c r="F82" i="7" s="1"/>
  <c r="F85" i="7" s="1"/>
  <c r="F71" i="7"/>
  <c r="F65" i="7"/>
  <c r="F67" i="7" s="1"/>
  <c r="F93" i="7" s="1"/>
  <c r="F66" i="7"/>
  <c r="F70" i="7"/>
  <c r="F72" i="7" s="1"/>
  <c r="F74" i="7" s="1"/>
  <c r="F73" i="7"/>
  <c r="F38" i="7"/>
  <c r="F61" i="7"/>
  <c r="F60" i="7"/>
  <c r="H46" i="7"/>
  <c r="H45" i="7"/>
  <c r="H44" i="7"/>
  <c r="D28" i="34"/>
  <c r="D31" i="34" s="1"/>
  <c r="D37" i="8"/>
  <c r="D39" i="8" s="1"/>
  <c r="D47" i="8"/>
  <c r="D63" i="8"/>
  <c r="D66" i="8" s="1"/>
  <c r="D69" i="8" s="1"/>
  <c r="F69" i="8" s="1"/>
  <c r="D27" i="35"/>
  <c r="D49" i="2"/>
  <c r="D51" i="2" s="1"/>
  <c r="D53" i="2" s="1"/>
  <c r="F62" i="7"/>
  <c r="D49" i="8"/>
  <c r="F63" i="5"/>
  <c r="F65" i="5" s="1"/>
  <c r="F52" i="15"/>
  <c r="F54" i="15" s="1"/>
  <c r="F68" i="8"/>
  <c r="F70" i="8" s="1"/>
  <c r="D59" i="2"/>
  <c r="D62" i="2" s="1"/>
  <c r="F27" i="35"/>
  <c r="D42" i="35"/>
  <c r="F92" i="7" l="1"/>
  <c r="F76" i="7"/>
  <c r="D52" i="35"/>
  <c r="D54" i="35" s="1"/>
  <c r="D56" i="35" s="1"/>
  <c r="F49" i="5"/>
  <c r="F59" i="5"/>
  <c r="F94" i="7"/>
  <c r="F95" i="7" s="1"/>
  <c r="F96" i="7" s="1"/>
  <c r="F62" i="15"/>
  <c r="F63" i="15" s="1"/>
  <c r="F57" i="15"/>
  <c r="D41" i="18"/>
  <c r="D39" i="18"/>
  <c r="F70" i="5"/>
  <c r="D62" i="15"/>
  <c r="D63" i="15" s="1"/>
  <c r="D57" i="15"/>
  <c r="D58" i="15" s="1"/>
  <c r="D63" i="2"/>
  <c r="D31" i="6"/>
  <c r="D33" i="6" s="1"/>
  <c r="D40" i="6"/>
  <c r="D42" i="6" s="1"/>
  <c r="D28" i="6"/>
  <c r="J33" i="48"/>
  <c r="J34" i="48" s="1"/>
  <c r="J37" i="48" s="1"/>
  <c r="J41" i="48"/>
  <c r="D42" i="34"/>
  <c r="D43" i="34" s="1"/>
  <c r="D33" i="34"/>
  <c r="F58" i="15"/>
  <c r="F40" i="6"/>
  <c r="F42" i="6" s="1"/>
  <c r="F28" i="6"/>
  <c r="F31" i="6"/>
  <c r="F33" i="6" s="1"/>
  <c r="D66" i="25"/>
  <c r="H39" i="47"/>
  <c r="D68" i="8"/>
  <c r="D70" i="8" s="1"/>
  <c r="J40" i="48"/>
  <c r="F35" i="6" l="1"/>
  <c r="F44" i="6"/>
  <c r="F46" i="6" s="1"/>
  <c r="F37" i="6"/>
  <c r="D37" i="6"/>
  <c r="D44" i="6"/>
  <c r="D46" i="6" s="1"/>
  <c r="D35" i="6"/>
</calcChain>
</file>

<file path=xl/sharedStrings.xml><?xml version="1.0" encoding="utf-8"?>
<sst xmlns="http://schemas.openxmlformats.org/spreadsheetml/2006/main" count="881" uniqueCount="659">
  <si>
    <t>Mattel is a U.S.-based company whose sales are  roughly two-thirds in dollars (Asia and the Americas) and one-third in euros (Europe). In September Mattel delivers a large shipment of toys (primarily Barbies and Hot Wheels) to a major distributor in Antwerp. The receivable, €30 million, is due in 90 days, standard terms for the toy industry in Europe. Mattel’s treasury team has collected the following currency and market quotes. The company’s foreign exchange advisors believe the euro will be at about $1.4200/€ in 90 days. Mattel’s management does not use currency options in currency risk management activities. Advise Mattel on which hedging alternative is probably preferable.</t>
  </si>
  <si>
    <t>Account recievable in 90 days (€)</t>
  </si>
  <si>
    <r>
      <t>Initial spot exchange rate ($/</t>
    </r>
    <r>
      <rPr>
        <sz val="10"/>
        <rFont val="Times New Roman"/>
        <family val="1"/>
      </rPr>
      <t>€</t>
    </r>
    <r>
      <rPr>
        <sz val="10"/>
        <rFont val="Times New Roman"/>
        <family val="1"/>
      </rPr>
      <t>)</t>
    </r>
  </si>
  <si>
    <r>
      <t>Forward rate, 90 days ($/</t>
    </r>
    <r>
      <rPr>
        <sz val="10"/>
        <rFont val="Times New Roman"/>
        <family val="1"/>
      </rPr>
      <t>€</t>
    </r>
    <r>
      <rPr>
        <sz val="10"/>
        <rFont val="Times New Roman"/>
        <family val="1"/>
      </rPr>
      <t>)</t>
    </r>
  </si>
  <si>
    <r>
      <t>Expected spot rate in 90 to 120 days ($/</t>
    </r>
    <r>
      <rPr>
        <sz val="10"/>
        <rFont val="Times New Roman"/>
        <family val="1"/>
      </rPr>
      <t>€</t>
    </r>
    <r>
      <rPr>
        <sz val="10"/>
        <rFont val="Times New Roman"/>
        <family val="1"/>
      </rPr>
      <t>): Case #2</t>
    </r>
  </si>
  <si>
    <r>
      <t>Expected spot rate in 90 to 120 days ($/</t>
    </r>
    <r>
      <rPr>
        <sz val="10"/>
        <rFont val="Times New Roman"/>
        <family val="1"/>
      </rPr>
      <t>€</t>
    </r>
    <r>
      <rPr>
        <sz val="10"/>
        <rFont val="Times New Roman"/>
        <family val="1"/>
      </rPr>
      <t>): Case #1</t>
    </r>
  </si>
  <si>
    <r>
      <t>Total exposure (</t>
    </r>
    <r>
      <rPr>
        <sz val="10"/>
        <rFont val="Times New Roman"/>
        <family val="1"/>
      </rPr>
      <t>€</t>
    </r>
    <r>
      <rPr>
        <sz val="10"/>
        <rFont val="Times New Roman"/>
        <family val="1"/>
      </rPr>
      <t>)</t>
    </r>
  </si>
  <si>
    <r>
      <t>at the forward rate ($/</t>
    </r>
    <r>
      <rPr>
        <sz val="10"/>
        <rFont val="Times New Roman"/>
        <family val="1"/>
      </rPr>
      <t>€</t>
    </r>
    <r>
      <rPr>
        <sz val="10"/>
        <rFont val="Times New Roman"/>
        <family val="1"/>
      </rPr>
      <t>)</t>
    </r>
  </si>
  <si>
    <r>
      <t>If ending spot rate is ($/</t>
    </r>
    <r>
      <rPr>
        <sz val="10"/>
        <rFont val="Times New Roman"/>
        <family val="1"/>
      </rPr>
      <t>€</t>
    </r>
    <r>
      <rPr>
        <sz val="10"/>
        <rFont val="Times New Roman"/>
        <family val="1"/>
      </rPr>
      <t>)</t>
    </r>
  </si>
  <si>
    <t>Case #2: Ending spot rate</t>
  </si>
  <si>
    <t>Case #1: Ending spot rate</t>
  </si>
  <si>
    <t>This is not a conservative hedging policy. Any time a firm may choose to leave any proportion uncovered, or purchase cover for more than the exposure (therefore creating a net short position) the firm could experience nearly unlimited losses or gains.</t>
  </si>
  <si>
    <t xml:space="preserve">Embraer of Brazil is one of the two leading global manufacturers of regional jets (Bombardier of Canada is the other). Regional jets are smaller than the traditional civilian airliners produced by Airbus and Boeing, seating between 50 and 100 people on average. Embraer has concluded an agreement with a regional U.S. airline to produce and deliver four aircraft one year from now for $80 million. Although Embraer will be paid in U.S. dollars, it also possesses a currency exposure of inputs – it must pay foreign suppliers $20 million for inputs one year from now (but they will be delivering the  sub-components throughout the year). The current spot rate on the Brazilian real (R$) is R$1.8240/$, but it has been steadily appreciating against the U.S. dollar over the past three years. Forward contracts are difficult to acquire and considered expensive. Citibank Brasil has not explicitly provided Embraer a forward rate quote, but has stated that it will probably be pricing a forward off the current 4.00% U.S. dollar eurocurrency rate and the 10.50% Brazilian government deposit note. </t>
  </si>
  <si>
    <t>Six-month investment (not borrowing) interest rate (per annum)</t>
  </si>
  <si>
    <t>Borrowing premium of 2.000%</t>
  </si>
  <si>
    <t>Six-month borrowing rate (per annum)</t>
  </si>
  <si>
    <t>90-day euro borrowing rate</t>
  </si>
  <si>
    <t>90-day euro interest rate</t>
  </si>
  <si>
    <t>Discussion.</t>
  </si>
  <si>
    <r>
      <t>Maria Gonzalez's expected spot rate in 90-days, US$ per pound ($/</t>
    </r>
    <r>
      <rPr>
        <sz val="10"/>
        <rFont val="Arial"/>
        <family val="2"/>
      </rPr>
      <t>£</t>
    </r>
    <r>
      <rPr>
        <sz val="10"/>
        <rFont val="Times New Roman"/>
        <family val="1"/>
      </rPr>
      <t>)</t>
    </r>
  </si>
  <si>
    <t>Analysis: Maria Gonzalez would receive the most certain US$ from the forward contract, $5,265,000; the money market hedge is less attractive as result of the higher borrowing costs in the UK now. The two put options yield unattractive amounts if they had to be exercised. As shown, the $1.75 strike price put option would be superior to the forward if the ending spot rate was $1.7825 or higher; the $1.71 strike price would be superior to the forward if the ending spot rate were $1.7732 or higher.</t>
  </si>
  <si>
    <t>Total of both payments</t>
  </si>
  <si>
    <t>not available</t>
  </si>
  <si>
    <t>3-month dollar borrowing rate</t>
  </si>
  <si>
    <t>If spot rate is the same as current spot rate</t>
  </si>
  <si>
    <t>If spot rate is the same as 3-month forward rate</t>
  </si>
  <si>
    <t xml:space="preserve">     Although this would do nothing to cover the currency risk,</t>
  </si>
  <si>
    <t xml:space="preserve">     there would be no required payment or borrowing for 3 -months.</t>
  </si>
  <si>
    <t xml:space="preserve">     The purchase of a forward contract would not require any cash</t>
  </si>
  <si>
    <t xml:space="preserve">     line by the amount of the forward. This is a non-cash expense.</t>
  </si>
  <si>
    <t>1.  Allow the discount and receive payment in Japanese yen in cash</t>
  </si>
  <si>
    <t xml:space="preserve">     Account recievable (yen)</t>
  </si>
  <si>
    <t xml:space="preserve">     Discount for cash payment up-front (4.500%)</t>
  </si>
  <si>
    <t xml:space="preserve">     Amount paid in cash net of discount</t>
  </si>
  <si>
    <t xml:space="preserve">     Current spot rate</t>
  </si>
  <si>
    <t>Possible spot rate in six months -- the current spot rate (dirhams/$)</t>
  </si>
  <si>
    <t>Possible spot rate in six months -- forward rate (dirhams/$)</t>
  </si>
  <si>
    <t>1 + ((.0009375 + .02) x 90/360)</t>
  </si>
  <si>
    <t>Possible spot rate in six months: current spot rate (won/$)</t>
  </si>
  <si>
    <t>Possible spot rate in six months: forward rate (won/$)</t>
  </si>
  <si>
    <t xml:space="preserve">     Amount received in U.S. dollars by Seattle Scientific</t>
  </si>
  <si>
    <t>2.  Not offer any discounts for early payment and cover exposure with forwards</t>
  </si>
  <si>
    <t xml:space="preserve">     Account receivable (yen)</t>
  </si>
  <si>
    <t xml:space="preserve">     30-day forward rate</t>
  </si>
  <si>
    <t xml:space="preserve">     Amount received in cash in dollars, in 30 days</t>
  </si>
  <si>
    <t xml:space="preserve">     Discount factor for 30 days @ Seattle's WACC</t>
  </si>
  <si>
    <t xml:space="preserve">     Present value of dollar cash received</t>
  </si>
  <si>
    <t>A/R due in 3 months, DKr</t>
  </si>
  <si>
    <t>A/R due in 6 months, DKr</t>
  </si>
  <si>
    <t>A/R due in 12-months, DKr</t>
  </si>
  <si>
    <t>Spot rate (T$/$)</t>
  </si>
  <si>
    <t>Acquisition price &amp; 3-month A/P, NewTaiwan dollars (T$)</t>
  </si>
  <si>
    <t>3-month forward rate (T$/$)</t>
  </si>
  <si>
    <t>3-month call option on T$</t>
  </si>
  <si>
    <t>1.  Do Nothing -- Wait 3 months and buy T$ spot</t>
  </si>
  <si>
    <t>2.  Buy T$ forward 3-months</t>
  </si>
  <si>
    <t>Assured cost of T$ at 3-month forward rate</t>
  </si>
  <si>
    <t>3.  Money Market Hedge: Exchanging US$ for T$ now, depositing for 3-months until payment</t>
  </si>
  <si>
    <t>Acquisition price in T$ needed in 3-months</t>
  </si>
  <si>
    <t>Discounted back 3-months at T$ deposit rate</t>
  </si>
  <si>
    <t>Spot rate, T$/$</t>
  </si>
  <si>
    <t>The Danish krone is selling forward at a discount versus the Canadian dollar: it takes more DKr/C$ forward.</t>
  </si>
  <si>
    <t>Money market, US$ up-front</t>
  </si>
  <si>
    <t>For 90 days</t>
  </si>
  <si>
    <t>Breakeven rate, % per annum</t>
  </si>
  <si>
    <t>91-180 days</t>
  </si>
  <si>
    <t>0-90 days</t>
  </si>
  <si>
    <t>&gt; 180 days</t>
  </si>
  <si>
    <t>Paying the points forward</t>
  </si>
  <si>
    <t>Receiving the points forward</t>
  </si>
  <si>
    <t>Analysis &amp; Exposure Management</t>
  </si>
  <si>
    <t xml:space="preserve">Forward </t>
  </si>
  <si>
    <t>Discount</t>
  </si>
  <si>
    <t>DKr Forward Cover</t>
  </si>
  <si>
    <t>Spot rate, DKr/C$</t>
  </si>
  <si>
    <t>3-month forward rate, DKr/C$</t>
  </si>
  <si>
    <t>6-month forward rate, DKr/C$</t>
  </si>
  <si>
    <t>12-month forward rate, DKr/C$</t>
  </si>
  <si>
    <t>Expected Canadian dollar value of DKr sold forward</t>
  </si>
  <si>
    <t>Option premium</t>
  </si>
  <si>
    <t>Value of A/R will be (3 million pounds x ending spot rate ($/pound))</t>
  </si>
  <si>
    <t xml:space="preserve">     Settle A/R in 90 days at current spot rate.</t>
  </si>
  <si>
    <t>If spot rate in 90 days is Rp9,400/$</t>
  </si>
  <si>
    <t>If spot rate in 90 days is Rp9,800/$</t>
  </si>
  <si>
    <t>institutions while pricing derivatives in emerging, illiquid, and volatile markets.</t>
  </si>
  <si>
    <t xml:space="preserve">     Implied one year forward rate = spot x ( 1 + iR$ ) / ( 1 + i$ )</t>
  </si>
  <si>
    <t>(20 million euros / future spot rate)</t>
  </si>
  <si>
    <t>Mattel's WACC carry-forward factor for 90 days</t>
  </si>
  <si>
    <t>(120.60 / 47.75)</t>
  </si>
  <si>
    <t>If spot rate in 180 days is same as current spot</t>
  </si>
  <si>
    <t>If spot rate in 180 days is same as forward rate</t>
  </si>
  <si>
    <t>If spot rate in 180 days is expected spot rate</t>
  </si>
  <si>
    <t>Plus agent's fee (4.850%)</t>
  </si>
  <si>
    <t xml:space="preserve">Spot  </t>
  </si>
  <si>
    <t>Rate (Rp/$)</t>
  </si>
  <si>
    <t>1.  Remain Uncovered, settling A/P in 180 days at spot rate</t>
  </si>
  <si>
    <t>The currency agent is the lowest total cost, in CERTAIN future rupee value, of all certain alternatives.</t>
  </si>
  <si>
    <t>90-day A/R in pounds</t>
  </si>
  <si>
    <t>3-month U.S. dollar investment rate</t>
  </si>
  <si>
    <t>3-month U.S. dollar borrowing rate</t>
  </si>
  <si>
    <t>3-month UK borrowing interest rate</t>
  </si>
  <si>
    <t>3-month UK investment interest rate</t>
  </si>
  <si>
    <t>Alternative #1: Remain Uncovered</t>
  </si>
  <si>
    <t>Alternative #2: Forward Contract Hedge</t>
  </si>
  <si>
    <t>Alternative #3: Money Market Hedge</t>
  </si>
  <si>
    <t>If ending spot rate is the same as current forward rate</t>
  </si>
  <si>
    <t>US dollar debt taken out in June 1997</t>
  </si>
  <si>
    <t>US dollar borrowing rate on debt</t>
  </si>
  <si>
    <t>Initial spot exchange rate, baht/dollar, June 1997</t>
  </si>
  <si>
    <t>Average spot exchange rate, baht/dollar, June 1998</t>
  </si>
  <si>
    <t>Calculation of Foreign Exhange Loss on Repayment of Loan</t>
  </si>
  <si>
    <t>Repayment of US dollar debt: Principal</t>
  </si>
  <si>
    <t xml:space="preserve">     Total repayment</t>
  </si>
  <si>
    <t>Repayment of US dollar debt: Interest</t>
  </si>
  <si>
    <t>Exchange rate at time of repayment, baht/dollar</t>
  </si>
  <si>
    <t xml:space="preserve">     Total repayment in Thai baht</t>
  </si>
  <si>
    <t xml:space="preserve">At the time the loan was acquired, the scheduled repayment of dollar </t>
  </si>
  <si>
    <t>and baht amounts would have been as follows:</t>
  </si>
  <si>
    <t>Scheduled Repayment:</t>
  </si>
  <si>
    <t xml:space="preserve">     Total proceeds from loan, up-front, in Thai baht</t>
  </si>
  <si>
    <t xml:space="preserve">          Net interest to be paid, in Thai baht</t>
  </si>
  <si>
    <t>Actual Repayment:</t>
  </si>
  <si>
    <t xml:space="preserve">     Less what Siam had EXPECTED or SCHEDULED to be repaid</t>
  </si>
  <si>
    <t>Amount of foreign exchange loss on debt</t>
  </si>
  <si>
    <t>1 million pounds @ $1.7290/pound</t>
  </si>
  <si>
    <t>1 million pounds @ $1.7689/pound</t>
  </si>
  <si>
    <t>1 million pounds @ $1.7602/pound</t>
  </si>
  <si>
    <t>1 million pounds @ $1.7381/pound</t>
  </si>
  <si>
    <t>If ending spot rate is the expected spot rate</t>
  </si>
  <si>
    <t xml:space="preserve">3-month Taiwan dollar deposit rate </t>
  </si>
  <si>
    <t>Amount of NT$ needed now for deposit</t>
  </si>
  <si>
    <t>US$ needed now for exchange</t>
  </si>
  <si>
    <t>US$ carry-forward rate (3-month dollar borrowing rate)</t>
  </si>
  <si>
    <t>Carry-forward factor of US$ for 3-month period</t>
  </si>
  <si>
    <t>Total cost in US$ of settling A/P in 3-months with</t>
  </si>
  <si>
    <t>Money Market Hedge</t>
  </si>
  <si>
    <t>Value of covered proportion (from above)</t>
  </si>
  <si>
    <t>Value of uncovered proportion ($)</t>
  </si>
  <si>
    <t>Total net proceeds, covered + uncovered</t>
  </si>
  <si>
    <t>Value of covered position (from above)</t>
  </si>
  <si>
    <t>US dollars received now</t>
  </si>
  <si>
    <t xml:space="preserve">     Booked value of sale (amount/spot rate)</t>
  </si>
  <si>
    <t>Sell the pounds forward 3-months locking in the forward rate</t>
  </si>
  <si>
    <t>Pound A/R at the forward rate (pounds x forward)</t>
  </si>
  <si>
    <t>Amount of A/R in 90-days, in pounds</t>
  </si>
  <si>
    <t>Discount factor, pound borrowing rate, for 3-months</t>
  </si>
  <si>
    <t>Proceeds of borrowing, up-front, in pounds</t>
  </si>
  <si>
    <t xml:space="preserve">Exchanged to US$ at current spot rate of </t>
  </si>
  <si>
    <t>US$ received against A/R, up-front</t>
  </si>
  <si>
    <t>US$ need to be carried forward for comparison:</t>
  </si>
  <si>
    <t>Carry-forward rate, WACC for 90-days</t>
  </si>
  <si>
    <t>Money Market Hedge, US$, at end of 90-days</t>
  </si>
  <si>
    <t>At Spot</t>
  </si>
  <si>
    <t>The cost of forward cover, 20.1%, is indicative of the "artificial interest rates" used by some financial</t>
  </si>
  <si>
    <r>
      <t xml:space="preserve">Spot rate, </t>
    </r>
    <r>
      <rPr>
        <sz val="10"/>
        <rFont val="Arial"/>
        <family val="2"/>
      </rPr>
      <t>¥</t>
    </r>
    <r>
      <rPr>
        <sz val="10"/>
        <rFont val="Times New Roman"/>
        <family val="1"/>
      </rPr>
      <t>/$</t>
    </r>
  </si>
  <si>
    <r>
      <t xml:space="preserve">30-day forward rate, </t>
    </r>
    <r>
      <rPr>
        <sz val="10"/>
        <rFont val="Arial"/>
        <family val="2"/>
      </rPr>
      <t>¥</t>
    </r>
    <r>
      <rPr>
        <sz val="10"/>
        <rFont val="Times New Roman"/>
        <family val="1"/>
      </rPr>
      <t>/$</t>
    </r>
  </si>
  <si>
    <r>
      <t xml:space="preserve">90-day forward rate, </t>
    </r>
    <r>
      <rPr>
        <sz val="10"/>
        <rFont val="Arial"/>
        <family val="2"/>
      </rPr>
      <t>¥</t>
    </r>
    <r>
      <rPr>
        <sz val="10"/>
        <rFont val="Times New Roman"/>
        <family val="1"/>
      </rPr>
      <t>/$</t>
    </r>
  </si>
  <si>
    <r>
      <t xml:space="preserve">180-day forward rate, </t>
    </r>
    <r>
      <rPr>
        <sz val="10"/>
        <rFont val="Arial"/>
        <family val="2"/>
      </rPr>
      <t>¥</t>
    </r>
    <r>
      <rPr>
        <sz val="10"/>
        <rFont val="Times New Roman"/>
        <family val="1"/>
      </rPr>
      <t>/$</t>
    </r>
  </si>
  <si>
    <r>
      <t>Spot rate, US$ per pound ($/</t>
    </r>
    <r>
      <rPr>
        <sz val="10"/>
        <rFont val="Arial"/>
        <family val="2"/>
      </rPr>
      <t>£</t>
    </r>
    <r>
      <rPr>
        <sz val="10"/>
        <rFont val="Times New Roman"/>
        <family val="1"/>
      </rPr>
      <t>)</t>
    </r>
  </si>
  <si>
    <r>
      <t>90-day forward rate, US$ per pound ($/</t>
    </r>
    <r>
      <rPr>
        <sz val="10"/>
        <rFont val="Arial"/>
        <family val="2"/>
      </rPr>
      <t>£</t>
    </r>
    <r>
      <rPr>
        <sz val="10"/>
        <rFont val="Times New Roman"/>
        <family val="1"/>
      </rPr>
      <t>)</t>
    </r>
  </si>
  <si>
    <r>
      <t>Put options on the British pound: Strike rates, US$/pound ($/</t>
    </r>
    <r>
      <rPr>
        <sz val="10"/>
        <rFont val="Arial"/>
        <family val="2"/>
      </rPr>
      <t>£</t>
    </r>
    <r>
      <rPr>
        <sz val="10"/>
        <rFont val="Times New Roman"/>
        <family val="1"/>
      </rPr>
      <t>)</t>
    </r>
  </si>
  <si>
    <t>$168,245.38 (1+x) = $171,188.91</t>
  </si>
  <si>
    <r>
      <t>Spot exchange rate at time of sale (</t>
    </r>
    <r>
      <rPr>
        <sz val="10"/>
        <rFont val="Arial"/>
        <family val="2"/>
      </rPr>
      <t>¥</t>
    </r>
    <r>
      <rPr>
        <sz val="10"/>
        <rFont val="Times New Roman"/>
        <family val="1"/>
      </rPr>
      <t>/$)</t>
    </r>
  </si>
  <si>
    <r>
      <t>Amount of receivable, Japanese yen (</t>
    </r>
    <r>
      <rPr>
        <sz val="10"/>
        <rFont val="Arial"/>
        <family val="2"/>
      </rPr>
      <t>¥</t>
    </r>
    <r>
      <rPr>
        <sz val="10"/>
        <rFont val="Times New Roman"/>
        <family val="1"/>
      </rPr>
      <t>)</t>
    </r>
  </si>
  <si>
    <r>
      <t>Competitor borrowing premium, yen (</t>
    </r>
    <r>
      <rPr>
        <sz val="10"/>
        <rFont val="Arial"/>
        <family val="2"/>
      </rPr>
      <t>¥</t>
    </r>
    <r>
      <rPr>
        <sz val="10"/>
        <rFont val="Times New Roman"/>
        <family val="1"/>
      </rPr>
      <t>)</t>
    </r>
  </si>
  <si>
    <r>
      <t>One-month forward rate (</t>
    </r>
    <r>
      <rPr>
        <sz val="10"/>
        <rFont val="Arial"/>
        <family val="2"/>
      </rPr>
      <t>¥</t>
    </r>
    <r>
      <rPr>
        <sz val="10"/>
        <rFont val="Times New Roman"/>
        <family val="1"/>
      </rPr>
      <t>/$)</t>
    </r>
  </si>
  <si>
    <r>
      <t>Three-month forward rate (</t>
    </r>
    <r>
      <rPr>
        <sz val="10"/>
        <rFont val="Arial"/>
        <family val="2"/>
      </rPr>
      <t>¥</t>
    </r>
    <r>
      <rPr>
        <sz val="10"/>
        <rFont val="Times New Roman"/>
        <family val="1"/>
      </rPr>
      <t>/$)</t>
    </r>
  </si>
  <si>
    <r>
      <t>One-year forward rate (</t>
    </r>
    <r>
      <rPr>
        <sz val="10"/>
        <rFont val="Arial"/>
        <family val="2"/>
      </rPr>
      <t>¥</t>
    </r>
    <r>
      <rPr>
        <sz val="10"/>
        <rFont val="Times New Roman"/>
        <family val="1"/>
      </rPr>
      <t>/$)</t>
    </r>
  </si>
  <si>
    <r>
      <t>90-day Forward rate, $/</t>
    </r>
    <r>
      <rPr>
        <sz val="10"/>
        <rFont val="Arial"/>
        <family val="2"/>
      </rPr>
      <t>€</t>
    </r>
  </si>
  <si>
    <r>
      <t>180-day Forward rate, $/</t>
    </r>
    <r>
      <rPr>
        <sz val="10"/>
        <rFont val="Arial"/>
        <family val="2"/>
      </rPr>
      <t>€</t>
    </r>
  </si>
  <si>
    <r>
      <t>($/</t>
    </r>
    <r>
      <rPr>
        <b/>
        <sz val="10"/>
        <rFont val="Arial"/>
        <family val="2"/>
      </rPr>
      <t>€</t>
    </r>
    <r>
      <rPr>
        <b/>
        <sz val="10"/>
        <rFont val="Times New Roman"/>
        <family val="1"/>
      </rPr>
      <t>)</t>
    </r>
  </si>
  <si>
    <r>
      <t>Respective forward rates ($/</t>
    </r>
    <r>
      <rPr>
        <sz val="10"/>
        <rFont val="Arial"/>
        <family val="2"/>
      </rPr>
      <t>€</t>
    </r>
    <r>
      <rPr>
        <sz val="10"/>
        <rFont val="Times New Roman"/>
        <family val="1"/>
      </rPr>
      <t>)</t>
    </r>
  </si>
  <si>
    <r>
      <t>Current spot rate ($/</t>
    </r>
    <r>
      <rPr>
        <sz val="10"/>
        <rFont val="Arial"/>
        <family val="2"/>
      </rPr>
      <t>€</t>
    </r>
    <r>
      <rPr>
        <sz val="10"/>
        <rFont val="Times New Roman"/>
        <family val="1"/>
      </rPr>
      <t>)</t>
    </r>
  </si>
  <si>
    <r>
      <t>Ending spot exchange rate ($/</t>
    </r>
    <r>
      <rPr>
        <sz val="10"/>
        <rFont val="Arial"/>
        <family val="2"/>
      </rPr>
      <t>€</t>
    </r>
    <r>
      <rPr>
        <sz val="10"/>
        <rFont val="Times New Roman"/>
        <family val="1"/>
      </rPr>
      <t>)</t>
    </r>
  </si>
  <si>
    <t>90-day A/R (€)</t>
  </si>
  <si>
    <t>Credit Suisse 90-day forward rate ($/€)</t>
  </si>
  <si>
    <r>
      <t>Barclays 90-day forward rate ($/</t>
    </r>
    <r>
      <rPr>
        <sz val="10"/>
        <rFont val="Times New Roman"/>
        <family val="1"/>
      </rPr>
      <t>€)</t>
    </r>
  </si>
  <si>
    <r>
      <t>Expected spot rate in 90 days ($/</t>
    </r>
    <r>
      <rPr>
        <sz val="10"/>
        <rFont val="Times New Roman"/>
        <family val="1"/>
      </rPr>
      <t>€</t>
    </r>
    <r>
      <rPr>
        <sz val="10"/>
        <rFont val="Times New Roman"/>
        <family val="1"/>
      </rPr>
      <t>)</t>
    </r>
  </si>
  <si>
    <r>
      <t xml:space="preserve">     Implied 90-day forward rate (calculated, $/</t>
    </r>
    <r>
      <rPr>
        <sz val="10"/>
        <rFont val="Times New Roman"/>
        <family val="1"/>
      </rPr>
      <t>€</t>
    </r>
    <r>
      <rPr>
        <sz val="10"/>
        <rFont val="Times New Roman"/>
        <family val="1"/>
      </rPr>
      <t>)</t>
    </r>
  </si>
  <si>
    <t>Mattel Toys weighted average cost of capital ($)</t>
  </si>
  <si>
    <t>The money market hedge guarantees Mattel the greatest dollar value for the A/R when using the cost of capital  as the reinvestment rate (carry-forward rate).</t>
  </si>
  <si>
    <t>If Chronos Time Pieces ……</t>
  </si>
  <si>
    <t>Micca's cost of capital (WACC)</t>
  </si>
  <si>
    <t>The lowest cost certain alternative is the forward. If Micca were to expect the dirham to depreciate significantly over the next six months, it may choose the call option.</t>
  </si>
  <si>
    <t>Six-month call options on 6,000,000 dirhams at an exercise price of 10.00 dirhams per dollar are available from Bank Al-Maghrub at a premium of 2%. Six-month put options on 6,000,000 dirhams at an exercise price of 10.00 dirhams per dollar are available at a premium of 3%. Compare and contrast alternative ways that Micca might hedge its foreign exchange transaction exposure. What is your recommendation?</t>
  </si>
  <si>
    <t>Borrows against the A/R, receiving £ up-front, exchanging into US$.</t>
  </si>
  <si>
    <t>Spot rate (Rp/$)</t>
  </si>
  <si>
    <t>Expected spot rate in 90 days (Rp/$)</t>
  </si>
  <si>
    <t>3-month forward rate (Rp/$)</t>
  </si>
  <si>
    <t>180-day account payable, Japanese yen (¥)</t>
  </si>
  <si>
    <t>Spot rate (¥/$)</t>
  </si>
  <si>
    <t>Spot rate, rupees/dollar (Rs/$)</t>
  </si>
  <si>
    <t xml:space="preserve">     Implied (calculated) spot rate (¥/Rs)</t>
  </si>
  <si>
    <r>
      <t>180-day forward rate (</t>
    </r>
    <r>
      <rPr>
        <sz val="10"/>
        <rFont val="Times New Roman"/>
        <family val="1"/>
      </rPr>
      <t>¥</t>
    </r>
    <r>
      <rPr>
        <sz val="10"/>
        <rFont val="Times New Roman"/>
        <family val="1"/>
      </rPr>
      <t>/Rs)</t>
    </r>
  </si>
  <si>
    <r>
      <t>Expected spot rate in 180 days (</t>
    </r>
    <r>
      <rPr>
        <sz val="10"/>
        <rFont val="Times New Roman"/>
        <family val="1"/>
      </rPr>
      <t>¥</t>
    </r>
    <r>
      <rPr>
        <sz val="10"/>
        <rFont val="Times New Roman"/>
        <family val="1"/>
      </rPr>
      <t>/Rs)</t>
    </r>
  </si>
  <si>
    <r>
      <t>Principal A/P (</t>
    </r>
    <r>
      <rPr>
        <sz val="10"/>
        <rFont val="Times New Roman"/>
        <family val="1"/>
      </rPr>
      <t>¥</t>
    </r>
    <r>
      <rPr>
        <sz val="10"/>
        <rFont val="Times New Roman"/>
        <family val="1"/>
      </rPr>
      <t>)</t>
    </r>
  </si>
  <si>
    <r>
      <t>Principal needed to meet A/P in 180 days (</t>
    </r>
    <r>
      <rPr>
        <sz val="10"/>
        <rFont val="Times New Roman"/>
        <family val="1"/>
      </rPr>
      <t>¥</t>
    </r>
    <r>
      <rPr>
        <sz val="10"/>
        <rFont val="Times New Roman"/>
        <family val="1"/>
      </rPr>
      <t>)</t>
    </r>
  </si>
  <si>
    <r>
      <t>Current spot rate (</t>
    </r>
    <r>
      <rPr>
        <sz val="10"/>
        <rFont val="Times New Roman"/>
        <family val="1"/>
      </rPr>
      <t>¥</t>
    </r>
    <r>
      <rPr>
        <sz val="10"/>
        <rFont val="Times New Roman"/>
        <family val="1"/>
      </rPr>
      <t>/Rs)</t>
    </r>
  </si>
  <si>
    <t>1 + (.0960 x 90/360)</t>
  </si>
  <si>
    <t>Spot Rate</t>
  </si>
  <si>
    <t xml:space="preserve">           Contract amount, pounds</t>
  </si>
  <si>
    <t>August 1</t>
  </si>
  <si>
    <t>September 1</t>
  </si>
  <si>
    <t>June 1</t>
  </si>
  <si>
    <t>Event</t>
  </si>
  <si>
    <t>Contract signed for sale</t>
  </si>
  <si>
    <t>Grand Met makes payment</t>
  </si>
  <si>
    <t>Days Forward</t>
  </si>
  <si>
    <t>of Forward Rate</t>
  </si>
  <si>
    <t xml:space="preserve">     is categorized as an account receivable. This sale is then compared to that value in effect on the date of cash settlement,</t>
  </si>
  <si>
    <t xml:space="preserve">     the difference being the foreign exchange gain (loss).</t>
  </si>
  <si>
    <t xml:space="preserve">     many firms do not define an "exposure" as arising until the date that the product is shipped (loss of physical control over</t>
  </si>
  <si>
    <t xml:space="preserve">     the goods) and the sale is booked on the income statement, that is a common date for the purchase of the forward contract.</t>
  </si>
  <si>
    <t>Forward contract purchased on June 1</t>
  </si>
  <si>
    <t>Forward contract purchased on March 1</t>
  </si>
  <si>
    <t>and interest differentials.</t>
  </si>
  <si>
    <t xml:space="preserve">     Value as settled</t>
  </si>
  <si>
    <t xml:space="preserve">     Value as booked</t>
  </si>
  <si>
    <t xml:space="preserve">     Value of forward settlement</t>
  </si>
  <si>
    <t xml:space="preserve">     FX gain (loss)</t>
  </si>
  <si>
    <t>---------</t>
  </si>
  <si>
    <t>have been even greater, although "fully hedged." The difference is of course the result of the forward rate changing with spot rates</t>
  </si>
  <si>
    <t>Rate ($/pound)</t>
  </si>
  <si>
    <t>Proceeds</t>
  </si>
  <si>
    <t>Alternative #4: Put Option Hedges</t>
  </si>
  <si>
    <t>Strike Rate ($/pnd)</t>
  </si>
  <si>
    <t>Proceeds from put option if exercised</t>
  </si>
  <si>
    <t>Notional principal of option (pounds)</t>
  </si>
  <si>
    <t>Spot rate ($/pound)</t>
  </si>
  <si>
    <t>Option premium, US$</t>
  </si>
  <si>
    <t>Carry-forward factor, WACC, for 90-days</t>
  </si>
  <si>
    <t>Total premium cost, in 90-days</t>
  </si>
  <si>
    <t>Less cost of premium, including time-value</t>
  </si>
  <si>
    <t>Net proceeds from put options, in 90-days: Minimum</t>
  </si>
  <si>
    <t>Ending spot rate needed to be superior to forward:</t>
  </si>
  <si>
    <t>Proceeds from exchanging pounds for US$ spot</t>
  </si>
  <si>
    <t>Less cost of option (allowed to expire OTM)</t>
  </si>
  <si>
    <t>Net proceeds from put option, unexercised</t>
  </si>
  <si>
    <t xml:space="preserve">Siam Cement, the Bangkok-based cement manufacturer, suffered enormous losses with the coming of the Asian crisis in 1997. The company had been pursuing a very aggressive growth strategy in the mid-1990s, taking on massive quantities of foreign currency denominated debt (primarily U.S. dollars). When the Thai baht (B)was devalued from its pegged rate of B25.0/$ in July 1997, Siam’s interest payments alone were over $900 million on its outstanding dollar debt (with an average interest rate of 8.40% on its U.S. dollar debt at that time). Assuming Siam Cement took out $50 million in debt in June 1997 at 8.40% interest, and had to repay it in one year when the spot exchange rate had stabilized at B42.0/$, what was the foreign exchange loss incurred on the transaction? </t>
  </si>
  <si>
    <t>1.  Hedge in the forward market. The 3-month forward exchange quote was $1.1060/€ and the 6-month forward quote was $1.1130/€.</t>
  </si>
  <si>
    <t>South Face's Exposures</t>
  </si>
  <si>
    <t>a)  What are the costs and benefits of alternative hedges? Which would you recommend, and why?</t>
  </si>
  <si>
    <t>b)  What is the breakeven reinvestment rate when comparing forward and money market alternatives?</t>
  </si>
  <si>
    <t>If exercised</t>
  </si>
  <si>
    <t>If not exercised</t>
  </si>
  <si>
    <t>If option exercised/not exercised, dollar cost of won</t>
  </si>
  <si>
    <t>Values</t>
  </si>
  <si>
    <t>Assumptions</t>
  </si>
  <si>
    <t>Present spot rate (quetzals/$)</t>
  </si>
  <si>
    <t>Six-month forward rate (quetzals/$)</t>
  </si>
  <si>
    <t>Guatemalan six-month interest rate (per annum)</t>
  </si>
  <si>
    <t>U.S. dollar six-month interest rate (per annum)</t>
  </si>
  <si>
    <t>Construction payment due in six-months (A/P, quetzals)</t>
  </si>
  <si>
    <t xml:space="preserve">     Highest expected rate</t>
  </si>
  <si>
    <t xml:space="preserve">     Expected rate</t>
  </si>
  <si>
    <t xml:space="preserve">     Lowest expected rate</t>
  </si>
  <si>
    <t>Expected spot rate in six-months (quetzals/$):</t>
  </si>
  <si>
    <t xml:space="preserve">      </t>
  </si>
  <si>
    <t>1. Wait six months and make payment at spot rate</t>
  </si>
  <si>
    <t>2. Purchase quetzals forward six-months</t>
  </si>
  <si>
    <t>3. Transfer dollars to quetzals today, invest for six-months</t>
  </si>
  <si>
    <t>Cost</t>
  </si>
  <si>
    <t>Risky</t>
  </si>
  <si>
    <t>Certain</t>
  </si>
  <si>
    <t>Premium</t>
  </si>
  <si>
    <t xml:space="preserve">     (A/P divided by the forward rate)</t>
  </si>
  <si>
    <t>quetzals needed today (A/P discounted 180 days)</t>
  </si>
  <si>
    <t>Cost in dollars today (quetzals to $ at spot rate)</t>
  </si>
  <si>
    <t>Cost in dollars in six-months ($ carried forward 180 days )</t>
  </si>
  <si>
    <t>factor to carry dollars forward 180 days (1 + (WACC/2))</t>
  </si>
  <si>
    <t>The second choice, the forward contract, results in the lowest cost alternative among certain alternatives.</t>
  </si>
  <si>
    <t>Shipment of phosphates from Morocco, Moroccan dirhams</t>
  </si>
  <si>
    <t>United States</t>
  </si>
  <si>
    <t>Morocco</t>
  </si>
  <si>
    <t>Six-month interest rate for borrowing (per annum)</t>
  </si>
  <si>
    <t>Six-month interest rate for investing (per annum)</t>
  </si>
  <si>
    <t>Spot exchange rate, dirhams/$</t>
  </si>
  <si>
    <t>Six-month forward rate, dirhams/$</t>
  </si>
  <si>
    <t xml:space="preserve">     Strike price, dirhams/$</t>
  </si>
  <si>
    <t>Options on Moroccan dirhams:</t>
  </si>
  <si>
    <t>Call Option</t>
  </si>
  <si>
    <t>Put Option</t>
  </si>
  <si>
    <t xml:space="preserve">     Option premium (percent)</t>
  </si>
  <si>
    <t>Risk Management Alternatives</t>
  </si>
  <si>
    <t>1.  Remain uncovered, making the dirham payment in six months</t>
  </si>
  <si>
    <t xml:space="preserve">     at the spot rate in effect at that date</t>
  </si>
  <si>
    <t>Account payable (dirhams)</t>
  </si>
  <si>
    <t>Cost of settlement in six months (US$)</t>
  </si>
  <si>
    <t>Uncertain.</t>
  </si>
  <si>
    <t>Certain.</t>
  </si>
  <si>
    <t>Discount factor at the dirham investing rate for 6 months</t>
  </si>
  <si>
    <t>Dirhams needed now for investing (payable/discount factor)</t>
  </si>
  <si>
    <t>Current spot rate (dirhams/$)</t>
  </si>
  <si>
    <t>US dollars needed now</t>
  </si>
  <si>
    <t>Carry forward rate for six months (WACC)</t>
  </si>
  <si>
    <t>US dollar cost, in six months, of settlement</t>
  </si>
  <si>
    <t>4. Call option hedge. (Need to buy dirhams = call on dirhams)</t>
  </si>
  <si>
    <t>Premium cost of option</t>
  </si>
  <si>
    <t>Option principal</t>
  </si>
  <si>
    <t>Current spot rate, dirhams/$</t>
  </si>
  <si>
    <t>Option premium (principal/spot rate x % pm)</t>
  </si>
  <si>
    <t>Total net cost of call option hedge if exercised</t>
  </si>
  <si>
    <t>Plus premium carried forward six months (pm x 1.07, WACC)</t>
  </si>
  <si>
    <t>Maximum.</t>
  </si>
  <si>
    <t>Certainty</t>
  </si>
  <si>
    <t>3.  Money market hedge. Exchange dollars for dirhams now, invest for six months.</t>
  </si>
  <si>
    <t>If option exercised, dollar cost at strike price of 10.00 dirhams/$</t>
  </si>
  <si>
    <t>Purchase price of Korean manufacturer, in Korean won</t>
  </si>
  <si>
    <t>Less initial payment, in Korean won</t>
  </si>
  <si>
    <t>Net settlement needed, in Korean won, in six months</t>
  </si>
  <si>
    <t>Current spot rate (Won/$)</t>
  </si>
  <si>
    <t>Six month forward rate (Won/$)</t>
  </si>
  <si>
    <t>Options on Korean won:</t>
  </si>
  <si>
    <t xml:space="preserve">     Strike price, won</t>
  </si>
  <si>
    <t>1.  Remain uncovered, making the won payment in 6 months</t>
  </si>
  <si>
    <t>Account payable (won)</t>
  </si>
  <si>
    <t>2.  Forward market hedge. Buy won forward six months</t>
  </si>
  <si>
    <t>Forward rate (won/$)</t>
  </si>
  <si>
    <t>2.  Forward market hedge. Buy dirhams forward six months.</t>
  </si>
  <si>
    <t>Six month forward rate, dirhams/$</t>
  </si>
  <si>
    <t>3.  Money market hedge. Exchange dollars for won now, invest for six months.</t>
  </si>
  <si>
    <t>Discount factor at the won interest rate for 6 months</t>
  </si>
  <si>
    <t>Korea</t>
  </si>
  <si>
    <t>Won needed now (payable/discount factor)</t>
  </si>
  <si>
    <t>Current spot rate (won/$)</t>
  </si>
  <si>
    <t>4. Call option hedge. (Need to buy won = call on won)</t>
  </si>
  <si>
    <t>Premium cost of option (%)</t>
  </si>
  <si>
    <t>Premium carried forward six months (pm x 1.125, WACC)</t>
  </si>
  <si>
    <t>Days receivable due</t>
  </si>
  <si>
    <t>Japan</t>
  </si>
  <si>
    <t>1 month</t>
  </si>
  <si>
    <t>3 months</t>
  </si>
  <si>
    <t>12 months</t>
  </si>
  <si>
    <t>a.  Alternative Hedges</t>
  </si>
  <si>
    <t>Account receivable (yen)</t>
  </si>
  <si>
    <t>Possible spot rate in 90 days (yen/$)</t>
  </si>
  <si>
    <t>Cash settlement in 90 days (US$)</t>
  </si>
  <si>
    <t>2.  Forward market hedge.</t>
  </si>
  <si>
    <t>1.  Remain uncovered.</t>
  </si>
  <si>
    <t xml:space="preserve">3.  Money market hedge. </t>
  </si>
  <si>
    <t>Discount factor for 90 days</t>
  </si>
  <si>
    <t>Yen proceeds up front</t>
  </si>
  <si>
    <t>4. Put option hedge. (Need to sell yen = put on yen)</t>
  </si>
  <si>
    <t>Proceeds in 90 days</t>
  </si>
  <si>
    <t>Option pm (principal/spot rate x % pm)</t>
  </si>
  <si>
    <t>If option exercised, dollar proceeds</t>
  </si>
  <si>
    <t>Strike (yen/$)</t>
  </si>
  <si>
    <t>Net proceeds in 90 days</t>
  </si>
  <si>
    <t>Minimum.</t>
  </si>
  <si>
    <t>Forward Rate</t>
  </si>
  <si>
    <t>Forward rates and premiums</t>
  </si>
  <si>
    <t>Less Pm carried forward 90 days</t>
  </si>
  <si>
    <t>The put option does not GUARANTEE the company of settling for the booked amount.</t>
  </si>
  <si>
    <t>The money market and forward hedges do; the money market yielding the higher proceeds.</t>
  </si>
  <si>
    <t>locking in ($)</t>
  </si>
  <si>
    <t>Minimum hedge in euros (exposure x min prop)</t>
  </si>
  <si>
    <t>value of uncovered proportion ($)</t>
  </si>
  <si>
    <t>the Minimum</t>
  </si>
  <si>
    <t>Hedged</t>
  </si>
  <si>
    <t>the Maximum</t>
  </si>
  <si>
    <t>Proportion of exposure to be hedged</t>
  </si>
  <si>
    <t>hedged proportion</t>
  </si>
  <si>
    <t>Proportion uncovered (short)</t>
  </si>
  <si>
    <t>Benchmark: Full (100%) forward cover</t>
  </si>
  <si>
    <t>Date</t>
  </si>
  <si>
    <t>Exchange Rate</t>
  </si>
  <si>
    <t>February 1</t>
  </si>
  <si>
    <t>March 1</t>
  </si>
  <si>
    <t>US Treasury bill rate</t>
  </si>
  <si>
    <t>Options on euros</t>
  </si>
  <si>
    <t>Strike ($/euro)</t>
  </si>
  <si>
    <t>Amount of receivable, in euros</t>
  </si>
  <si>
    <t>Valuation of Alternative Hedges</t>
  </si>
  <si>
    <t>a.  Hedge in the forward market</t>
  </si>
  <si>
    <t>US dollar proceeds as hedged ($)</t>
  </si>
  <si>
    <t>b. Hedge in the money market</t>
  </si>
  <si>
    <t>Discount factor for euro funds, period</t>
  </si>
  <si>
    <t>Current proceeds from discounting, euros</t>
  </si>
  <si>
    <t>Current US dollar proceeds</t>
  </si>
  <si>
    <t>Carry forward rate for the period</t>
  </si>
  <si>
    <t>US dollar proceeds on future date</t>
  </si>
  <si>
    <t>c. Hedge with options</t>
  </si>
  <si>
    <t>d.  Do nothing (remain uncovered)</t>
  </si>
  <si>
    <t>-----</t>
  </si>
  <si>
    <t>Buy put options for maturities (% x spot value)</t>
  </si>
  <si>
    <t>Carry forward for the period</t>
  </si>
  <si>
    <t>Gross put option value if exercised</t>
  </si>
  <si>
    <t>----</t>
  </si>
  <si>
    <t>???</t>
  </si>
  <si>
    <t>Value</t>
  </si>
  <si>
    <t>Alternatives</t>
  </si>
  <si>
    <t>1.  Remain Uncovered.</t>
  </si>
  <si>
    <t>If spot rate in 90 days is same as current</t>
  </si>
  <si>
    <t>Assessment</t>
  </si>
  <si>
    <t>Risk</t>
  </si>
  <si>
    <t>2.  Sell Indonesian rupiah forward.</t>
  </si>
  <si>
    <t>A/R sold forward 90 days</t>
  </si>
  <si>
    <t>Analysis</t>
  </si>
  <si>
    <t>The Indonesian rupiah has been highly volatile in recent years. This means that during the 90-day period,</t>
  </si>
  <si>
    <t>any variety of economic or political or social events could lead to an upward bounce in the exchange rate,</t>
  </si>
  <si>
    <t>Receivable due in 3 months, in Indonesian rupiah (Rp)</t>
  </si>
  <si>
    <t>Minimum dollar amount acceptable at settlement</t>
  </si>
  <si>
    <t>Unfortunately, the forward contract does not result in dollar proceeds which meet the minimum margin.</t>
  </si>
  <si>
    <t>company policy on minimum proceeds (forward cover) or taking significant currency risk by not using</t>
  </si>
  <si>
    <t>reducing the dollar proceeds at settlement to an unacceptable level.</t>
  </si>
  <si>
    <t>"Cost of cover" is the forward discount on Rp</t>
  </si>
  <si>
    <t>Receivable due in one year, US dollars</t>
  </si>
  <si>
    <t>Payable due in one year, US dollars</t>
  </si>
  <si>
    <t>One-year US dollar eurocurrency interest rate</t>
  </si>
  <si>
    <t>One-year Brazilian govt deposit note</t>
  </si>
  <si>
    <t>Net exposure at time of cash settlements:</t>
  </si>
  <si>
    <t>One year A/R due</t>
  </si>
  <si>
    <t>One year A/P due</t>
  </si>
  <si>
    <t>Net exposure</t>
  </si>
  <si>
    <t>Cash settlement of the net position:</t>
  </si>
  <si>
    <t>Investment rates, % per annum</t>
  </si>
  <si>
    <t>Forward contract, US$, end of 90 days</t>
  </si>
  <si>
    <t>3-month call option on yen</t>
  </si>
  <si>
    <t>3-month put option on yen</t>
  </si>
  <si>
    <t>Purchased options</t>
  </si>
  <si>
    <t>b) Breakeven rate between the money market and the forward hedge is determined by the reinvestment rate:</t>
  </si>
  <si>
    <t>1 + (.16 x 90/360)</t>
  </si>
  <si>
    <t>1.04 carry-forward rate</t>
  </si>
  <si>
    <t>(1 + x)</t>
  </si>
  <si>
    <t xml:space="preserve">x </t>
  </si>
  <si>
    <t>Brazilian reais in one year at current spot rate</t>
  </si>
  <si>
    <t>Brazilian reais in one year at one year forward rate</t>
  </si>
  <si>
    <t>Current spot rate, $/euro</t>
  </si>
  <si>
    <t>90-day eurodollar interest rate</t>
  </si>
  <si>
    <t>90-day eurodollar borrowing rate</t>
  </si>
  <si>
    <t>Hedging Alternatives</t>
  </si>
  <si>
    <t>If spot rate in 90 days is same as Credit Suisse forward rate</t>
  </si>
  <si>
    <t>If spot rate in 90 days is same as Barclays forward rate</t>
  </si>
  <si>
    <t>If spot rate in 90 days is expected spot rate</t>
  </si>
  <si>
    <t>2.  Sell euros forward 90 days</t>
  </si>
  <si>
    <t>1.  Remain Uncovered, settling A/R in 90 days at market rate</t>
  </si>
  <si>
    <t>Settlement amount at Credit Suisse forward rate</t>
  </si>
  <si>
    <t>Settlement amount at Barclays forward rate</t>
  </si>
  <si>
    <t>3.  Money Market Hedge</t>
  </si>
  <si>
    <t>Borrow euros against 90-day A/R</t>
  </si>
  <si>
    <t>Principal A/R in euros</t>
  </si>
  <si>
    <t>discount factor for euro borrowing rate for 90 days</t>
  </si>
  <si>
    <t>US dollar current value</t>
  </si>
  <si>
    <t>Future value of money market hedge</t>
  </si>
  <si>
    <t>Evaluation of Alternatives</t>
  </si>
  <si>
    <t>Currency agent's exchange rate fee</t>
  </si>
  <si>
    <t>2.  Buy Japanese yen forward 180 days</t>
  </si>
  <si>
    <t>Settlement amount at forward rate (Rs)</t>
  </si>
  <si>
    <t>discount factor for yen investing rate for 180 days</t>
  </si>
  <si>
    <t>180-day Indian rupee investing rate</t>
  </si>
  <si>
    <t>180-day Japanese yen investing rate</t>
  </si>
  <si>
    <t>Indian rupee, current amount (Rs)</t>
  </si>
  <si>
    <t>Future value of money market hedge (Rs)</t>
  </si>
  <si>
    <t>4.  Indian Currency Agent Hedge</t>
  </si>
  <si>
    <t>Current A/P (Rs)</t>
  </si>
  <si>
    <t>Total A/P, future value, A/P + fee  (Rs)</t>
  </si>
  <si>
    <t>Total future value of agent's fee (Rs)</t>
  </si>
  <si>
    <t>($/£)</t>
  </si>
  <si>
    <t>In this case, however, because the reais is selling forward at a considerable discount, the net long position -- if sold forward -- yields considerably more reais than the current spot rate. It should also be noted, however, that if the reais were to fall considerably over the coming year, by remaining unhedged Embraer would enjoy greater reais returns.</t>
  </si>
  <si>
    <t>This is a net long position, meaning, Embraer will be receiving US dollars on net. Given the history of the Brazilian reais, that it has traditionally suffered from rapid depreciation and occasional devaluation, a net long position in dollars by most Brazilian companies is considered a very good thing.</t>
  </si>
  <si>
    <t>Spot rate, reais per dollar (R$/$)</t>
  </si>
  <si>
    <t>Current spot rate ($/€)</t>
  </si>
  <si>
    <t xml:space="preserve">Proctor and Gamble’s affiliate in India, P &amp; G India, procures much of its toiletries product line from a Japanese company. Because of the shortage of working capital in India, payment terms by Indian importers are typically 180 days or longer. P &amp; G India wishes to hedge a 8.5 million Japanese yen payable. Although options are not available on the Indian rupee (Rs), forward rates are available against the yen. Additionally, a common practice in India is for companies like P &amp; G India to work with a currency agent who will, in this case, lock in the current spot exchange rate in exchange for a 4.85% fee. Using the following exchange rate and interest rate data, recommend a hedging strategy. </t>
  </si>
  <si>
    <t>P &amp; G India's cost of capital</t>
  </si>
  <si>
    <t>P &amp; G India's WACC carry-forwad factor for 180 days on fee</t>
  </si>
  <si>
    <t>BioTron's 30-day account receivable, Japanese yen</t>
  </si>
  <si>
    <t>Numata's WACC</t>
  </si>
  <si>
    <t>BioTron Medical's WACC</t>
  </si>
  <si>
    <t>Desired discount on purchase price by Numata</t>
  </si>
  <si>
    <t>Brent Bush should compare two basic alternatives, both of which eliminate the currency risk.</t>
  </si>
  <si>
    <t>Brent Bush should politely decline Numata's offer to pay cash in exchange for the requested discount.</t>
  </si>
  <si>
    <r>
      <t xml:space="preserve">Spot rate, </t>
    </r>
    <r>
      <rPr>
        <sz val="10"/>
        <rFont val="Arial"/>
        <family val="2"/>
      </rPr>
      <t>¥</t>
    </r>
    <r>
      <rPr>
        <sz val="10"/>
        <rFont val="Times New Roman"/>
        <family val="1"/>
      </rPr>
      <t>/$</t>
    </r>
  </si>
  <si>
    <r>
      <t xml:space="preserve">30-day forward rate, </t>
    </r>
    <r>
      <rPr>
        <sz val="10"/>
        <rFont val="Arial"/>
        <family val="2"/>
      </rPr>
      <t>¥</t>
    </r>
    <r>
      <rPr>
        <sz val="10"/>
        <rFont val="Times New Roman"/>
        <family val="1"/>
      </rPr>
      <t>/$</t>
    </r>
  </si>
  <si>
    <r>
      <t xml:space="preserve">90-day forward rate, </t>
    </r>
    <r>
      <rPr>
        <sz val="10"/>
        <rFont val="Arial"/>
        <family val="2"/>
      </rPr>
      <t>¥</t>
    </r>
    <r>
      <rPr>
        <sz val="10"/>
        <rFont val="Times New Roman"/>
        <family val="1"/>
      </rPr>
      <t>/$</t>
    </r>
  </si>
  <si>
    <r>
      <t xml:space="preserve">180-day forward rate, </t>
    </r>
    <r>
      <rPr>
        <sz val="10"/>
        <rFont val="Arial"/>
        <family val="2"/>
      </rPr>
      <t>¥</t>
    </r>
    <r>
      <rPr>
        <sz val="10"/>
        <rFont val="Times New Roman"/>
        <family val="1"/>
      </rPr>
      <t>/$</t>
    </r>
  </si>
  <si>
    <t>¥111.00/$</t>
  </si>
  <si>
    <t>¥111.40/$</t>
  </si>
  <si>
    <t>¥110.40/$</t>
  </si>
  <si>
    <t>¥109.20/$</t>
  </si>
  <si>
    <t>How much in U.S. dollars will BioTron Medical receive 1) with the discount and 2) with no discount but fully covered with a forward contract?</t>
  </si>
  <si>
    <t>a forward cover.</t>
  </si>
  <si>
    <t>Bobcat can invest at the rates given above, or borrow at 2% per annum above those rates. Bobcat's weighted average cost of capital is 10%. Compare alternate ways that Bobcat might deal with its foreign exchange exposure. What do you recommend and why?</t>
  </si>
  <si>
    <t>Mattel Toys WACC ($)</t>
  </si>
  <si>
    <t>Barclays 90-day forward rate ($/€)</t>
  </si>
  <si>
    <t>Required Forward Cover for Compass Rose:</t>
  </si>
  <si>
    <t>Bobcat's cost of capital (WACC)</t>
  </si>
  <si>
    <t>The forward contract provides the lowest CERTAIN cost hedging method for payment settlement. If, however, the firm believes the ending spot rate will be a weaker Won, Won1,200/$ or higher, then the call option would be a lower cost alternative. This would require, however, that the firm accept foreign exchange risk and be willing to suffer the higher cost of the call option in the event that the Won did not fall to the needed level.</t>
  </si>
  <si>
    <t>Additional information: Aquatech’s Japanese competitors are currently borrowing yen from Japanese banks at a spread of 2 percentage points above the Japanese money rate. Aquatech's weighted average cost of capital is 16%, and the company wishes to protect the dollar value of this receivable.</t>
  </si>
  <si>
    <t>Carry forward at Aquatech's WACC</t>
  </si>
  <si>
    <t>One-month forward rate:</t>
  </si>
  <si>
    <t>Spot exchange rate:</t>
  </si>
  <si>
    <t>Three-month forward:</t>
  </si>
  <si>
    <t>One-year forward:</t>
  </si>
  <si>
    <t>¥118.255/$ (closing mid-rates)</t>
  </si>
  <si>
    <t xml:space="preserve">Japan </t>
  </si>
  <si>
    <t>Differential</t>
  </si>
  <si>
    <t>Money Rates                                           United States</t>
  </si>
  <si>
    <t>One month                                                  4.8750%</t>
  </si>
  <si>
    <t>Three months                                             4.9375%</t>
  </si>
  <si>
    <t>Twelve months                                          5.1875%</t>
  </si>
  <si>
    <r>
      <t xml:space="preserve">Note: </t>
    </r>
    <r>
      <rPr>
        <sz val="10"/>
        <rFont val="Times New Roman"/>
        <family val="1"/>
      </rPr>
      <t>The interest rate differentials vary slightly from the forward discounts on the yen because of time differences for the quotes.  The spot ¥118.255/$, for example, is a mid-point range.  On April 11, the spot yen traded in London from ¥118.30/$ to ¥117.550/$.</t>
    </r>
  </si>
  <si>
    <t>Three-month options from Kyushu Bank:</t>
  </si>
  <si>
    <t>* Call option on ¥20,000,000 at exercise price of ¥118.00/$: a 1% premium.</t>
  </si>
  <si>
    <t>* Put option on ¥20,000,000, at exercise price of ¥118.00/$: a 3% premium.</t>
  </si>
  <si>
    <t xml:space="preserve">     Highest expected rate (reflecting a significant devaluation)</t>
  </si>
  <si>
    <t xml:space="preserve">     Lowest expected rate (reflecting a strengthening of the quetzal)</t>
  </si>
  <si>
    <t xml:space="preserve">Pupule Travel, a Honolulu, Hawaii – based 100% privately owned travel company has signed an agreement to acquire a 50% ownership share of Taichung Travel, a Taiwan – based privately owned travel agency specializing in servicing inbound customers from the United States and Canada. The acquisition price is 7 million Taiwan dollars (T$ 7,000,000) payable in cash in 3 months. </t>
  </si>
  <si>
    <t>Thomas Carson's credit line with Bank of Hawaii</t>
  </si>
  <si>
    <t xml:space="preserve">     up-front, but the Bank of Hawaii would reduce his available credit</t>
  </si>
  <si>
    <t>The currency risk is eliminated, but since Thomas Carson would have to exchange the money up-front, it would require him to borrow the money, increasing his debt outstanding for the entire 3 months.</t>
  </si>
  <si>
    <t>This is a difficult decision. The forward contract appears to be the preferable choice, protecting him against an appreciating T$, and creating a certain cash purchase payment. The problem, however, will be whether the Bank of Hawaii will allow him to purchase a forward for the full $216,049.38, which is slightly above his credit line currently in-place. If his relatonship is good with the bank, they most likely would increase his line sufficiently to allow the forward contract.</t>
  </si>
  <si>
    <t>Thomas Carson, Pupule Travel’s owner, believes the Taiwan dollar will either remain stable or decline a little over the next 3 months. At the present spot rate of T$35/$, the amount of cash required is only $200,000 but even this relatively modest amount will need to be borrowed personally by Thomas Carson. Taiwanese interest-bearing deposits by non-residents are regulated by the government, and are currently set at 1.5% per year. He has a credit line with Bank of Hawaii for $200,000 with a current borrowing interest rate of 8% per year. He does not believe that he can calculate a credible weighted average cost of capital since he has no stock outstanding and his competitors are all also privately-owned without disclosure of their financial results. Since the acquisition would use up all his available credit, he wonders if he should hedge this transaction exposure. He has quotes from Bank of Hawaii shown in the table below.</t>
  </si>
  <si>
    <t>Analyze the costs and risks of each alternative, and then make a recommendation as to which alternative Thomas Carson should choose.</t>
  </si>
  <si>
    <t>Product shipped to Pegg</t>
  </si>
  <si>
    <t>Product received by Pegg</t>
  </si>
  <si>
    <t>a.  The sale is booked at the exchange rate existing on June 1, when the product is shipped to Pegg Metropolitan, and the shipment</t>
  </si>
  <si>
    <t>Price quotation for Pegg</t>
  </si>
  <si>
    <t>b.  The vlaue of the foreign exchange gain (loss) will depend upon when Jason actually purchases the forward contract. Because</t>
  </si>
  <si>
    <t>A more aggressive alternative is for Jason to purchase the forward contract on the date that the contract was signed, March 1, locking-</t>
  </si>
  <si>
    <t>in Burton's U.S. dollar settlement amount a full 90 days earlier in the transaction exposure's life span.</t>
  </si>
  <si>
    <t>Note that in this case if Jason had covered forward on March 1st rather than June 1st, the amount of the foreign exchange loss would</t>
  </si>
  <si>
    <t xml:space="preserve">On May 1st, Larkin Hydraulics, a wholly owned subsidiary of Caterpillar (U.S.), sold a 12 megawatt compression turbine to Rebecke-Terwilleger Company of the Netherlands for €4,000,000, payable €2,000,000 on August 1st and €2,000,000 on November 1st. Larkin derived its price quote of €4,000,000 on April 1st by dividing its normal U.S. dollar sales price of $4.320,000 by the then current spot rate of  $1.0800/€. </t>
  </si>
  <si>
    <t xml:space="preserve">     By the time the order was received and booked on May 1st, the euro had strengthened to $1.1000/€, so the sale was in fact worth €4,000,000 x  $1.1000/€ = $4,400,000. Larkin had already gained an extra $80,000 from favorable exchange rate movements.  Nevertheless Larkin's director of finance now wondered if the firm should hedge against a reversal of the recent trend of the euro. Four approaches were possible: </t>
  </si>
  <si>
    <t>2.  Hedge in the money market. Larkin could borrow euros from the Frankfurt branch of its U.S. bank at 8.00% per annum.</t>
  </si>
  <si>
    <t>3.  Hedge with foreign currency options. August put options were available at strike price of $1.1000/€ for a premium of 2.0% per contract, and November put options were available at $1.1000/€ for a premium of 1.2%. August call options at $1.1000/€ could be purchased for a premium of 3.0%, and November call options at $1.1000/€ were available at a 2.6% premium.</t>
  </si>
  <si>
    <t>4.  Do nothing. Larkin could wait until the sales proceeds were received in August and November, hope the recent strengthening of the euro would continue, and sell the euros received for dollars in the spot market.</t>
  </si>
  <si>
    <t>The money market hedge provides the highest certain outcome. If Larkin Hydraulics believes the euro will strengthen versus the dollar over the coming months, and it is willing to take the currency risk, the put option hedges could be considered.</t>
  </si>
  <si>
    <t>Carry forward to Nov 1st at WACC</t>
  </si>
  <si>
    <t>Total US$ proceeds on Nov 1st</t>
  </si>
  <si>
    <t>Premium cost carried forward to Nov 1</t>
  </si>
  <si>
    <t>Carried forward 3 months to Nov 1</t>
  </si>
  <si>
    <t>Gross proceeds, Nov 1</t>
  </si>
  <si>
    <t>Total net proceeds, after premium deduction, Nov 1</t>
  </si>
  <si>
    <t>August Receivable</t>
  </si>
  <si>
    <t>November Receivable</t>
  </si>
  <si>
    <t>Today is May 1</t>
  </si>
  <si>
    <t>April 1</t>
  </si>
  <si>
    <t>May 1</t>
  </si>
  <si>
    <t>Larkin's borrowing rate, euros, per annum</t>
  </si>
  <si>
    <t>Larkin's cost of equity</t>
  </si>
  <si>
    <t>August maturity options</t>
  </si>
  <si>
    <t>November maturity options</t>
  </si>
  <si>
    <t xml:space="preserve">     Strike rate ($/£)</t>
  </si>
  <si>
    <t xml:space="preserve">          Put option premium</t>
  </si>
  <si>
    <t xml:space="preserve">Bobcat Company,  U.S.-based manufacturer of industrial equipment, just purchased a Korean company that produces plastic nuts and bolts for heavy equipment. The purchase price was Won7,500 million. Won1,000 million has already been paid, and the remaining Won6,500 million is due in six months. The current spot rate is Won1,110/$, and the 6-month forward rate is Won1,175/$. The six-month Korean won interest rate is 16% pe annum, the six-month US dollar rate is 4% per annum. Bobcat can invest at these interest rates, or borrow at 2% per annum above those rates. A six-month call option on won with a 1200/$ strike rate has a 3.0% premium, while the six-month put option at the same strike rate has a 2.4% premium. </t>
  </si>
  <si>
    <t>Larkin estimates the cost of equity capital to be 12% per annum. As a small firm, Larkin Hydraulics is unable to raise funds with long-term debt. U.S. T-bills yield 3.6% per annum.  What should Larkin do?</t>
  </si>
  <si>
    <t xml:space="preserve">Chronos Time Pieces of Boston exports wrist watches to many countries, selling in local currencies to watch stores and distributors. Chronos prides itself on being financially conservative. At least 70% of each individual transaction exposure is hedged, mostly in the forward market, but occasionally with options. Chronos's foreign exchange policy is such that the 70% hedge may be increased up to a 120% hedge if devaluation or depreciation appears imminent. Chronos has just shipped to its major North American distributor. It has issued a 90-day invoice to its buyer for €1,560,000. The current spot rate is $1.2224/€, the 90-day forward rate is $1.2270/€.  Chronos’s treasurer, Manny Hernandez, has a very good track record in predicting exchange rate movements. He currently believes the euro will weaken against the dollar in the coming 90 to 120 days, possibly to around $1.16/€. </t>
  </si>
  <si>
    <t>Brent Bush, CFO of a medical device manufacturer, BioTron Medical, Inc., was approached by a Japanese customer, Numata, with a proposal to pay cash (in yen) for its typical orders of ¥12,500,000 every other month if it were given a 4.5% discount. Numata's current terms are 30 days with no discounts. Using the following quotes and estimated cost of capital for Numata, Bush will compare the proposal with covering yen payments with forward contracts.</t>
  </si>
  <si>
    <t>(Rp 1,650,000,000 / Rp 9,450/$)</t>
  </si>
  <si>
    <t>(Rp 1,650,000,000 / Rp 9,400/$)</t>
  </si>
  <si>
    <t>(Rp 1,650,000,000 / Rp 9,950/$)</t>
  </si>
  <si>
    <t>P&amp;G India's WACC carry-forward factor for 180 days</t>
  </si>
  <si>
    <t>1/(1 + (.05 x 90/360))</t>
  </si>
  <si>
    <t>a. What will be the amount of foreign exchange gain (loss) upon settlement?</t>
  </si>
  <si>
    <t>b. If Jason hedges the exposure with a forward contract, what will be the net foreign exchange gain (loss) on settlement?</t>
  </si>
  <si>
    <t>Jason Stedman is the director of finance for Burton Manufacturing, a U.S.-based manufacturer of hand-held computer systems for inventory management. Burton’s system combines a low-cost active tag that is attached to inventory items (the tag emits a low-grade radio frequency) with custom-designed hardware and software that tracks the low-grade emissions for inventory control. Burton has completed the sale of a inventory management system to a British firm, Pegg Metropolitan (UK), for a total payment of £1,000,000. The exchange rates shown were available to Burton on the following dates corresponding to the events of this specific export sale. Assume each month is 30 days.</t>
  </si>
  <si>
    <t>Micca Metals, Inc. is a specialty materials and metals company located in Detroit, Michigan. The company specializes in specific precious metals and materials which are used in a variety of pigment applications in many other industries including cosmetics, appliances, and a variety of high tinsel metal fabricating equipment. Micca just purchased a shipment of phosphates from Morocco for 6,000,000, dirhams, payable in six months.</t>
  </si>
  <si>
    <t>Problem 10.1  BioTron Medical, Inc.</t>
  </si>
  <si>
    <t>Problem 10.2  Bobcat Company</t>
  </si>
  <si>
    <t>Problem 10.3  Siam Cement</t>
  </si>
  <si>
    <t>Problem 10.4  P &amp; G India</t>
  </si>
  <si>
    <t>Problem 10.5  Elan Pharmaceuticals</t>
  </si>
  <si>
    <t>Elan Pharmaceuticals, a U.S.-based multinational pharmaceutical company, is evaluating an export sale of its cholesterol-reduction drug with a prospective Indonesian distributor. The purchase would be for 1,650 million Indonesian rupiah (Rp), which at the current spot exchange rate of Rp9,450/$, translates into nearly $175,000. Although not a big sale by company standards, company policy dictates that sales must be settled for at least a minimum gross margin, in this case, a cash settlement of $168,000. The current 90-day forward rate is Rp9,950/$. Although this rate appeared unattractive, Elan had to contact several major banks before even finding a forward quote on the rupiah. The consensus of currency forecasters at the moment, however, is that the rupiah will hold relatively steady, possibly falling to Rp9,400/$ over the coming 90 to 120 days. Analyze the prospective sale and make a hedging recommendation.</t>
  </si>
  <si>
    <t>In the end, Elan will have to decide whether making the sale into this specific market is worth breaking a</t>
  </si>
  <si>
    <t>Problem 10.6  Embraer of Brazil</t>
  </si>
  <si>
    <t>Problem 10.7  Krystal</t>
  </si>
  <si>
    <t xml:space="preserve">Krystal is a U.S.-based company which manufactures, sells, and installs water purification equipment. On April 11th the company sold a system to the City of Nagasaki, Japan, for installation in Nagasaki’s famous Glover Gardens (where Puccini’s Madame Butterfly waited for the return of Lt. Pinkerton.) The sale was priced in yen at ¥20,000,000, with payment due in three months. </t>
  </si>
  <si>
    <t>Krystal's WACC</t>
  </si>
  <si>
    <t>Problem 10.8  Caribou River</t>
  </si>
  <si>
    <t>Caribou River, Ltd., a Canadian manufacturer of raincoats, does not selectively hedge its transaction exposure. Instead, if the date of the transaction is known with certainty, all foreign currency-denominated cash flows must utilize the following mandatory forward contract cover formula:</t>
  </si>
  <si>
    <t>Caribou River's Manadatory Forward Cover</t>
  </si>
  <si>
    <t>Caribou expects to receive multiple payments in Danish kroner over the next year. DKr 3,000,000 is due in 90 days; DKr 2,000,000 is due in 180 days; and DKr 1,000,000 is due in one year. Using the following spot and forward exchange rates, what would be the amount of forward cover required by company policy by period?</t>
  </si>
  <si>
    <t>Caribou River is receiving foreign currency, DKr, at future dates ("long DKr").</t>
  </si>
  <si>
    <t>Caribou River is therefore expecting to PAY THE POINTS FORWARD.</t>
  </si>
  <si>
    <t>Problem 10.9  Pupule Travel</t>
  </si>
  <si>
    <t>Problem 10.10  Mattel Toys</t>
  </si>
  <si>
    <t>Problem 10.11  Chronos Time Pieces</t>
  </si>
  <si>
    <t>Problem 10.12  Farah Jeans</t>
  </si>
  <si>
    <t>Farah Jeans of San Antonio, Texas, is completing a new assembly plant near Guatemala City. A final construction payment of Q8,400,000 is due in six months. (“Q” is the symbol for Guatemalan quetzals.) Farah Jeans uses 20% per annum as its weighted average cost of capital. Today’s foreign exchange and interest rate quotations are:</t>
  </si>
  <si>
    <t>Farah's weighted average cost of capital (WACC)</t>
  </si>
  <si>
    <t>Farah's treasury manager, concerned about the Guatemalan economy, wonders if Farah should be hedging its foreign exchange risk. The manager’s own forecast is as follows:</t>
  </si>
  <si>
    <t>What realistic alternatives are available to Farah for making payments? Which method would you select and why?</t>
  </si>
  <si>
    <t>What realistic alternatives are available to Farah Jeans?</t>
  </si>
  <si>
    <t>Problem 10.13  Burton Manufacturing</t>
  </si>
  <si>
    <t>Problem 10.14  Micca Metals, Inc.</t>
  </si>
  <si>
    <t>Problem 10.15  Maria Gonzalez and Ganado</t>
  </si>
  <si>
    <t>Ganado — the same U.S.-based company as discussed in this chapter, has concluded a second larger sale of telecommunications equipment to Regency (U.K.). Total payment of £3,000,000 is due in 90 days. Maria Gonzalez has also learned that Ganado will only be able to borrow in the United Kingdom at 14% per annum (due to credit concerns of the British banks). Given the following exchange rates and interest rates, what transaction exposure hedge is now in Ganado’s best interest?</t>
  </si>
  <si>
    <t xml:space="preserve">Ganado's WACC </t>
  </si>
  <si>
    <t>Problem 10.16  Larkin Hydraulics</t>
  </si>
  <si>
    <t>US Parent Company Sells Product to a Barcelona Subsidiary</t>
  </si>
  <si>
    <t>Parameters</t>
  </si>
  <si>
    <t>Sales price</t>
  </si>
  <si>
    <r>
      <t>Spot rate, day 0 ($/</t>
    </r>
    <r>
      <rPr>
        <sz val="10"/>
        <rFont val="Times New Roman"/>
        <family val="1"/>
      </rPr>
      <t>€)</t>
    </r>
  </si>
  <si>
    <r>
      <t>Spot rate, day 90 ($/</t>
    </r>
    <r>
      <rPr>
        <sz val="10"/>
        <rFont val="Times New Roman"/>
        <family val="1"/>
      </rPr>
      <t>€)</t>
    </r>
  </si>
  <si>
    <r>
      <t>Forward rate, 90 days ($/</t>
    </r>
    <r>
      <rPr>
        <sz val="10"/>
        <rFont val="Times New Roman"/>
        <family val="1"/>
      </rPr>
      <t>€)</t>
    </r>
  </si>
  <si>
    <t>Barcelona P&amp;L: No hedge</t>
  </si>
  <si>
    <t>Rate ($/€)</t>
  </si>
  <si>
    <t>Entry</t>
  </si>
  <si>
    <t>Payable as booked (initial spot)</t>
  </si>
  <si>
    <t>Payable as settled (ending spot)</t>
  </si>
  <si>
    <t>FX gain (loss)</t>
  </si>
  <si>
    <t>Barcelona P&amp;L: Forward hedge</t>
  </si>
  <si>
    <t>Payable as settled (forward rate)</t>
  </si>
  <si>
    <t>US P&amp;L: No Hedge</t>
  </si>
  <si>
    <t>Receivable in USD</t>
  </si>
  <si>
    <t>A/R as invoiced in euros</t>
  </si>
  <si>
    <t>A/R as settled at ending spot rate</t>
  </si>
  <si>
    <t>A/R as settled at forward rate</t>
  </si>
  <si>
    <t>Problem 10.17 Navarro's Intra-Company Hedging</t>
  </si>
  <si>
    <t>Payment (exposure)</t>
  </si>
  <si>
    <t>Effective ending rate (Won/$)</t>
  </si>
  <si>
    <t xml:space="preserve">     Option premium (call)</t>
  </si>
  <si>
    <t xml:space="preserve">     Eurodollar interest</t>
  </si>
  <si>
    <t xml:space="preserve">     US dollar interest borrow</t>
  </si>
  <si>
    <t xml:space="preserve">     Korean won interest</t>
  </si>
  <si>
    <t>Uncovered</t>
  </si>
  <si>
    <t>Forward Cover</t>
  </si>
  <si>
    <t>Money Market</t>
  </si>
  <si>
    <t>Beginning balance</t>
  </si>
  <si>
    <t xml:space="preserve">     Initial deductions</t>
  </si>
  <si>
    <t xml:space="preserve">     balance for interest</t>
  </si>
  <si>
    <t xml:space="preserve">     Interest earnings</t>
  </si>
  <si>
    <t xml:space="preserve">     Balance at day 89</t>
  </si>
  <si>
    <t xml:space="preserve">     Settlement of payment</t>
  </si>
  <si>
    <t>Final Balance</t>
  </si>
  <si>
    <t xml:space="preserve">    If exercised. </t>
  </si>
  <si>
    <t>Pm</t>
  </si>
  <si>
    <t>Total cost</t>
  </si>
  <si>
    <t>Very Risky.</t>
  </si>
  <si>
    <t>Worst case.</t>
  </si>
  <si>
    <t>Could be better.</t>
  </si>
  <si>
    <t>Korean Airlines Money Market Hedge</t>
  </si>
  <si>
    <t xml:space="preserve">The challenge with the Korean Money Market Hedge is that it is a payable -- a payable form a Korean won cash balance. A MM Hedge for a payable is to simply transfer money into the target currency at the start of the period (the front end of the box), and then to have that money earn interest on deposit for the time period until payment is due. </t>
  </si>
  <si>
    <t>In this problem, that means transfering enough Korean won at the start to fund a dollar deposit which will yield a total of $30 million at the end of 90 days. The dollar deposit earns a deposit rate (not a borrowing rate). The won transferred out of the account at the beginning of the period then reduces the account balance, which then earns the Korean interest rate for the 90 days to get to an ending cash balance.</t>
  </si>
  <si>
    <t>Eurodollar deposit rate</t>
  </si>
  <si>
    <t>US dollars for Payable</t>
  </si>
  <si>
    <t>↔</t>
  </si>
  <si>
    <t>↓</t>
  </si>
  <si>
    <t>Spot (Won/$)</t>
  </si>
  <si>
    <t>---------------&gt;  90 days ----------------&gt;</t>
  </si>
  <si>
    <t>Amount to be withdrawn from Korean bank balance</t>
  </si>
  <si>
    <t>Korean bank balance</t>
  </si>
  <si>
    <t>Bank Balance at end</t>
  </si>
  <si>
    <t>→</t>
  </si>
  <si>
    <t>This is the remaining balance which is then carried forward</t>
  </si>
  <si>
    <t>Korean won interest</t>
  </si>
  <si>
    <t>Navarro was a U.S.-based multinational company which manufactured and distributed specialty materials for sound-proofing construction. It had recently established a new European subsidiary in Barcelona, Spain, and was now in the process of establishing operating rules for transactions between the U.S. parent company and the Barcelona subsidiary. Ignacio Lopez was International Treasurer for Navarro, and was leading the effort at establishing commercial policies for the new subsidiary.</t>
  </si>
  <si>
    <t xml:space="preserve">     Navarro's first shipment of product to Spain was up-coming. The first shipment would carry an intra-company invoice amount of $500,000. The company was now trying to decide whether to invoice the Spanish subsidiary in U.S. dollars or European euros, and in turn, whether the resulting transaction exposure should be hedged. Ignacio's idea was to take a recent historical period of exchange rate quotes and movements and simulate the invoicing and hedging alternatives available to Navarro to try and characterize the choices.  </t>
  </si>
  <si>
    <t>a)  If the product was invoiced in US dollars, the US parent has no direct exposure, but the Spanish subsidiary in Barcelona does.</t>
  </si>
  <si>
    <t>b) If the product was invioiced in euros, the Barcelona subsidiary has no exposure, but the US parent company does.</t>
  </si>
  <si>
    <t>a.  Which unit would have suffered the gain (loss) on currency exchange if intra-company sales were invoiced in U.S. dollars ($), assuming both completely unhedged and fully hedged?</t>
  </si>
  <si>
    <t>b. Which unit would have suffered the gain (loss) on currency exchange if intra-company sales were invoiced in euros (€), assuming both completely unhedged and fully hedged?</t>
  </si>
  <si>
    <t xml:space="preserve">     Ignacio looked at the 90-day period which had ended the previous Friday (standard intra-company payment terms for transcontinental transactions was 90 days). The quarter had opened with a  spot rate of $1.0640/€, with the 90-day forward rate quoted at $1.0615/€ the same day. The quarter had closed with a spot rate of $1.0980/€. </t>
  </si>
  <si>
    <t>Problem 10.18  Korean Airlines</t>
  </si>
  <si>
    <t>Korean Airlines (KAL) has just signed a contract with Boeing to purchase two new 747-400's for a total of $60,000,000, with payment in two equal tranches. The first tranche of $30,000,000 has just been paid. The next $30,000,000 is due three months from today. KAL currently has excess cash of 25,000,000,000 won in a Seoul bank, and it is from these funds that KAL plans to make its next payment.</t>
  </si>
  <si>
    <t xml:space="preserve">The current spot rate is won 800/$, and permission has been obtained for a forward rate (90 days), won 794/$. The 90 day Eurodollar interest rate is 6.000%, while the 90 day Korean won deposit rate (there is no Euro-won rate) is 5.000%. KAL can borrow in Korea at 6.250%, and can probably borrow in the U.S. dollar market at 9.375%. </t>
  </si>
  <si>
    <t>A three month call option on dollars in the over-the-counter market, for a strike price of won 790/$ sells at a premium of 2.9%, payable at the time the option is purchased. A 90 day put option on dollars, also at a strike price of won 790/$, sells at a premium of 1.9% (assuming a 12% volatility). KAL's foreign exchange advisory service forecasts the spot rate in three months to be won792/$.</t>
  </si>
  <si>
    <t xml:space="preserve">How should KAL plan to make the payment to Boeing if KAL's goal is to maximize the amount of won cash left in the bank at the end of the three month period? Make a recommendation and defend it.  </t>
  </si>
  <si>
    <t>Bank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</si>
</sst>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_(* #,##0.000_);_(* \(#,##0.000\);_(* &quot;-&quot;??_);_(@_)"/>
    <numFmt numFmtId="165" formatCode="_(* #,##0.0000_);_(* \(#,##0.0000\);_(* &quot;-&quot;??_);_(@_)"/>
    <numFmt numFmtId="166" formatCode="0.0%"/>
    <numFmt numFmtId="167" formatCode="_(* #,##0_);_(* \(#,##0\);_(* &quot;-&quot;??_);_(@_)"/>
    <numFmt numFmtId="168" formatCode="0.000%"/>
    <numFmt numFmtId="169" formatCode="0.0000%"/>
    <numFmt numFmtId="170" formatCode="_(* #,##0.00000_);_(* \(#,##0.00000\);_(* &quot;-&quot;??_);_(@_)"/>
    <numFmt numFmtId="171" formatCode="0.00000%"/>
    <numFmt numFmtId="172" formatCode="_(&quot;$&quot;* #,##0.0000_);_(&quot;$&quot;* \(#,##0.0000\);_(&quot;$&quot;* &quot;-&quot;??_);_(@_)"/>
    <numFmt numFmtId="173" formatCode="_(&quot;$&quot;* #,##0_);_(&quot;$&quot;* \(#,##0\);_(&quot;$&quot;* &quot;-&quot;??_);_(@_)"/>
    <numFmt numFmtId="174" formatCode="[$€-2]\ #,##0"/>
    <numFmt numFmtId="175" formatCode="[$€-2]\ #,##0.00"/>
    <numFmt numFmtId="176" formatCode="[$£-809]#,##0.00;\-[$£-809]#,##0.00"/>
    <numFmt numFmtId="177" formatCode="[$Rp-421]#,##0"/>
    <numFmt numFmtId="178" formatCode="[$R$ -416]#,##0.00"/>
    <numFmt numFmtId="179" formatCode="[$£-809]#,##0"/>
    <numFmt numFmtId="180" formatCode="&quot;$&quot;#,##0.0000"/>
    <numFmt numFmtId="181" formatCode="[$€-2]\ #,##0_);\([$€-2]\ #,##0\)"/>
    <numFmt numFmtId="182" formatCode="&quot;$&quot;#,##0.0000_);\(&quot;$&quot;#,##0.0000\)"/>
    <numFmt numFmtId="183" formatCode="&quot;$&quot;#,##0.00000_);\(&quot;$&quot;#,##0.00000\)"/>
    <numFmt numFmtId="184" formatCode="[$€-2]\ #,##0.00_);\([$€-2]\ #,##0.00\)"/>
    <numFmt numFmtId="185" formatCode="#,##0.0000_);\(#,##0.0000\)"/>
    <numFmt numFmtId="186" formatCode="[$kr-406]\ #,##0.00_);\([$kr-406]\ #,##0.00\)"/>
    <numFmt numFmtId="187" formatCode="[$¥-411]#,##0.000;\-[$¥-411]#,##0.000"/>
  </numFmts>
  <fonts count="21" x14ac:knownFonts="1">
    <font>
      <sz val="10"/>
      <name val="Times New Roman"/>
    </font>
    <font>
      <sz val="10"/>
      <name val="Times New Roman"/>
      <family val="1"/>
    </font>
    <font>
      <b/>
      <sz val="10"/>
      <name val="Times New Roman"/>
      <family val="1"/>
    </font>
    <font>
      <b/>
      <sz val="10"/>
      <color indexed="10"/>
      <name val="Times New Roman"/>
      <family val="1"/>
    </font>
    <font>
      <b/>
      <sz val="10"/>
      <color indexed="12"/>
      <name val="Times New Roman"/>
      <family val="1"/>
    </font>
    <font>
      <sz val="10"/>
      <name val="Times New Roman"/>
      <family val="1"/>
    </font>
    <font>
      <b/>
      <sz val="12"/>
      <color indexed="9"/>
      <name val="Times New Roman"/>
      <family val="1"/>
    </font>
    <font>
      <sz val="10"/>
      <color indexed="10"/>
      <name val="Times New Roman"/>
      <family val="1"/>
    </font>
    <font>
      <i/>
      <sz val="10"/>
      <name val="Times New Roman"/>
      <family val="1"/>
    </font>
    <font>
      <u/>
      <sz val="10"/>
      <name val="Times New Roman"/>
      <family val="1"/>
    </font>
    <font>
      <b/>
      <u/>
      <sz val="10"/>
      <name val="Times New Roman"/>
      <family val="1"/>
    </font>
    <font>
      <sz val="10"/>
      <name val="Arial"/>
      <family val="2"/>
    </font>
    <font>
      <b/>
      <sz val="10"/>
      <name val="Arial"/>
      <family val="2"/>
    </font>
    <font>
      <sz val="10"/>
      <name val="Times New Roman"/>
      <family val="1"/>
    </font>
    <font>
      <b/>
      <sz val="10"/>
      <color rgb="FF0000FF"/>
      <name val="Times New Roman"/>
      <family val="1"/>
    </font>
    <font>
      <sz val="10"/>
      <color theme="1"/>
      <name val="Times New Roman"/>
      <family val="1"/>
    </font>
    <font>
      <sz val="10"/>
      <color rgb="FFFF0000"/>
      <name val="Times New Roman"/>
      <family val="1"/>
    </font>
    <font>
      <sz val="12"/>
      <name val="Times New Roman"/>
      <family val="1"/>
    </font>
    <font>
      <b/>
      <i/>
      <sz val="10"/>
      <name val="Times New Roman"/>
      <family val="1"/>
    </font>
    <font>
      <b/>
      <sz val="14"/>
      <color indexed="9"/>
      <name val="Times New Roman"/>
      <family val="1"/>
    </font>
    <font>
      <sz val="14"/>
      <name val="Times New Roman"/>
      <family val="1"/>
    </font>
  </fonts>
  <fills count="8">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35"/>
        <bgColor indexed="64"/>
      </patternFill>
    </fill>
    <fill>
      <patternFill patternType="solid">
        <fgColor indexed="12"/>
        <bgColor indexed="64"/>
      </patternFill>
    </fill>
    <fill>
      <patternFill patternType="solid">
        <fgColor theme="0"/>
        <bgColor indexed="64"/>
      </patternFill>
    </fill>
    <fill>
      <patternFill patternType="solid">
        <fgColor indexed="31"/>
        <bgColor indexed="64"/>
      </patternFill>
    </fill>
  </fills>
  <borders count="31">
    <border>
      <left/>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385">
    <xf numFmtId="0" fontId="0" fillId="0" borderId="0" xfId="0"/>
    <xf numFmtId="0" fontId="0" fillId="0" borderId="1" xfId="0" applyBorder="1"/>
    <xf numFmtId="0" fontId="0" fillId="0" borderId="2" xfId="0" applyBorder="1"/>
    <xf numFmtId="0" fontId="0" fillId="0" borderId="0" xfId="0" applyAlignment="1">
      <alignment horizontal="center"/>
    </xf>
    <xf numFmtId="0" fontId="5" fillId="0" borderId="0" xfId="0" applyFont="1"/>
    <xf numFmtId="0" fontId="5" fillId="0" borderId="1" xfId="0" applyFont="1" applyBorder="1"/>
    <xf numFmtId="0" fontId="5" fillId="0" borderId="2" xfId="0" applyFont="1" applyBorder="1"/>
    <xf numFmtId="0" fontId="5" fillId="2" borderId="1" xfId="0" applyFont="1" applyFill="1" applyBorder="1"/>
    <xf numFmtId="0" fontId="3" fillId="2" borderId="0" xfId="0" applyFont="1" applyFill="1" applyBorder="1"/>
    <xf numFmtId="0" fontId="5" fillId="2" borderId="0" xfId="0" applyFont="1" applyFill="1" applyBorder="1"/>
    <xf numFmtId="0" fontId="2" fillId="2" borderId="0" xfId="0" quotePrefix="1" applyFont="1" applyFill="1" applyBorder="1" applyAlignment="1">
      <alignment horizontal="right"/>
    </xf>
    <xf numFmtId="0" fontId="5" fillId="2" borderId="2" xfId="0" applyFont="1" applyFill="1" applyBorder="1"/>
    <xf numFmtId="0" fontId="0" fillId="2" borderId="0" xfId="0" applyFill="1" applyAlignment="1">
      <alignment vertical="center" wrapText="1"/>
    </xf>
    <xf numFmtId="0" fontId="2" fillId="2" borderId="3" xfId="0" applyFont="1" applyFill="1" applyBorder="1"/>
    <xf numFmtId="0" fontId="2" fillId="2" borderId="3" xfId="0" applyFont="1" applyFill="1" applyBorder="1" applyAlignment="1">
      <alignment horizontal="right"/>
    </xf>
    <xf numFmtId="173" fontId="4" fillId="2" borderId="0" xfId="2" applyNumberFormat="1" applyFont="1" applyFill="1" applyBorder="1" applyAlignment="1">
      <alignment horizontal="right"/>
    </xf>
    <xf numFmtId="168" fontId="4" fillId="2" borderId="0" xfId="3" applyNumberFormat="1" applyFont="1" applyFill="1" applyBorder="1"/>
    <xf numFmtId="43" fontId="4" fillId="2" borderId="0" xfId="1" applyFont="1" applyFill="1" applyBorder="1"/>
    <xf numFmtId="0" fontId="10" fillId="2" borderId="0" xfId="0" applyFont="1" applyFill="1" applyBorder="1"/>
    <xf numFmtId="173" fontId="2" fillId="2" borderId="0" xfId="2" applyNumberFormat="1" applyFont="1" applyFill="1" applyBorder="1"/>
    <xf numFmtId="167" fontId="2" fillId="2" borderId="3" xfId="1" applyNumberFormat="1" applyFont="1" applyFill="1" applyBorder="1"/>
    <xf numFmtId="165" fontId="2" fillId="2" borderId="0" xfId="1" applyNumberFormat="1" applyFont="1" applyFill="1" applyBorder="1"/>
    <xf numFmtId="43" fontId="2" fillId="2" borderId="0" xfId="0" applyNumberFormat="1" applyFont="1" applyFill="1" applyBorder="1"/>
    <xf numFmtId="167" fontId="2" fillId="2" borderId="0" xfId="1" applyNumberFormat="1" applyFont="1" applyFill="1" applyBorder="1"/>
    <xf numFmtId="0" fontId="5" fillId="2" borderId="4" xfId="0" applyFont="1" applyFill="1" applyBorder="1"/>
    <xf numFmtId="0" fontId="5" fillId="2" borderId="5" xfId="0" applyFont="1" applyFill="1" applyBorder="1"/>
    <xf numFmtId="0" fontId="5" fillId="2" borderId="6" xfId="0" applyFont="1" applyFill="1" applyBorder="1"/>
    <xf numFmtId="0" fontId="5" fillId="2" borderId="7" xfId="0" applyFont="1" applyFill="1" applyBorder="1"/>
    <xf numFmtId="0" fontId="5" fillId="2" borderId="8" xfId="0" applyFont="1" applyFill="1" applyBorder="1"/>
    <xf numFmtId="0" fontId="5" fillId="2" borderId="9" xfId="0" applyFont="1" applyFill="1" applyBorder="1"/>
    <xf numFmtId="0" fontId="0" fillId="2" borderId="1" xfId="0" applyFill="1" applyBorder="1"/>
    <xf numFmtId="0" fontId="0" fillId="2" borderId="0" xfId="0" applyFill="1" applyBorder="1"/>
    <xf numFmtId="0" fontId="0" fillId="2" borderId="0" xfId="0" applyFill="1" applyBorder="1" applyAlignment="1">
      <alignment horizontal="center"/>
    </xf>
    <xf numFmtId="0" fontId="0" fillId="2" borderId="2" xfId="0" applyFill="1" applyBorder="1"/>
    <xf numFmtId="0" fontId="2" fillId="2" borderId="0" xfId="0" applyFont="1" applyFill="1" applyBorder="1" applyAlignment="1">
      <alignment horizontal="center"/>
    </xf>
    <xf numFmtId="167" fontId="4" fillId="2" borderId="0" xfId="1" applyNumberFormat="1" applyFont="1" applyFill="1" applyBorder="1"/>
    <xf numFmtId="167" fontId="4" fillId="2" borderId="0" xfId="1" applyNumberFormat="1" applyFont="1" applyFill="1" applyBorder="1" applyAlignment="1">
      <alignment horizontal="center"/>
    </xf>
    <xf numFmtId="165" fontId="4" fillId="2" borderId="0" xfId="1" applyNumberFormat="1" applyFont="1" applyFill="1" applyBorder="1" applyAlignment="1">
      <alignment horizontal="center"/>
    </xf>
    <xf numFmtId="165" fontId="2" fillId="2" borderId="10" xfId="1" applyNumberFormat="1" applyFont="1" applyFill="1" applyBorder="1"/>
    <xf numFmtId="165" fontId="2" fillId="2" borderId="0" xfId="1" applyNumberFormat="1" applyFont="1" applyFill="1" applyBorder="1" applyAlignment="1">
      <alignment horizontal="center"/>
    </xf>
    <xf numFmtId="165" fontId="4" fillId="2" borderId="0" xfId="1" applyNumberFormat="1" applyFont="1" applyFill="1" applyBorder="1"/>
    <xf numFmtId="10" fontId="4" fillId="2" borderId="0" xfId="3" applyNumberFormat="1" applyFont="1" applyFill="1" applyBorder="1"/>
    <xf numFmtId="172" fontId="4" fillId="2" borderId="0" xfId="2" applyNumberFormat="1" applyFont="1" applyFill="1" applyBorder="1"/>
    <xf numFmtId="0" fontId="2" fillId="2" borderId="0" xfId="0" applyFont="1" applyFill="1" applyBorder="1" applyAlignment="1">
      <alignment horizontal="right"/>
    </xf>
    <xf numFmtId="0" fontId="2" fillId="2" borderId="0" xfId="0" applyFont="1" applyFill="1" applyBorder="1"/>
    <xf numFmtId="0" fontId="5" fillId="2" borderId="0" xfId="0" applyFont="1" applyFill="1" applyBorder="1" applyAlignment="1">
      <alignment horizontal="right"/>
    </xf>
    <xf numFmtId="44" fontId="2" fillId="2" borderId="0" xfId="2" applyFont="1" applyFill="1" applyBorder="1"/>
    <xf numFmtId="0" fontId="0" fillId="2" borderId="0" xfId="0" applyFill="1" applyBorder="1" applyAlignment="1">
      <alignment horizontal="right"/>
    </xf>
    <xf numFmtId="43" fontId="2" fillId="2" borderId="0" xfId="1" applyFont="1" applyFill="1" applyBorder="1"/>
    <xf numFmtId="165" fontId="2" fillId="2" borderId="3" xfId="1" applyNumberFormat="1" applyFont="1" applyFill="1" applyBorder="1"/>
    <xf numFmtId="43" fontId="3" fillId="2" borderId="0" xfId="1" applyFont="1" applyFill="1" applyBorder="1"/>
    <xf numFmtId="0" fontId="2" fillId="2" borderId="3" xfId="0" applyFont="1" applyFill="1" applyBorder="1" applyAlignment="1">
      <alignment horizontal="left"/>
    </xf>
    <xf numFmtId="0" fontId="0" fillId="2" borderId="3" xfId="0" applyFill="1" applyBorder="1"/>
    <xf numFmtId="0" fontId="0" fillId="2" borderId="3" xfId="0" applyFill="1" applyBorder="1" applyAlignment="1">
      <alignment horizontal="center"/>
    </xf>
    <xf numFmtId="0" fontId="0" fillId="2" borderId="0" xfId="0" applyFill="1" applyBorder="1" applyAlignment="1">
      <alignment horizontal="left"/>
    </xf>
    <xf numFmtId="0" fontId="0" fillId="2" borderId="4" xfId="0" applyFill="1" applyBorder="1"/>
    <xf numFmtId="0" fontId="0" fillId="2" borderId="5" xfId="0" applyFill="1" applyBorder="1"/>
    <xf numFmtId="0" fontId="0" fillId="2" borderId="5" xfId="0" applyFill="1" applyBorder="1" applyAlignment="1">
      <alignment horizontal="center"/>
    </xf>
    <xf numFmtId="0" fontId="0" fillId="2" borderId="6" xfId="0" applyFill="1" applyBorder="1"/>
    <xf numFmtId="0" fontId="0" fillId="2" borderId="7" xfId="0" applyFill="1" applyBorder="1"/>
    <xf numFmtId="0" fontId="0" fillId="2" borderId="8" xfId="0" applyFill="1" applyBorder="1"/>
    <xf numFmtId="0" fontId="0" fillId="2" borderId="8" xfId="0" applyFill="1" applyBorder="1" applyAlignment="1">
      <alignment horizontal="center"/>
    </xf>
    <xf numFmtId="0" fontId="0" fillId="2" borderId="9" xfId="0" applyFill="1" applyBorder="1"/>
    <xf numFmtId="177" fontId="4" fillId="2" borderId="0" xfId="0" applyNumberFormat="1" applyFont="1" applyFill="1" applyBorder="1"/>
    <xf numFmtId="44" fontId="4" fillId="2" borderId="0" xfId="2" applyFont="1" applyFill="1" applyBorder="1"/>
    <xf numFmtId="44" fontId="3" fillId="2" borderId="0" xfId="2" applyFont="1" applyFill="1" applyBorder="1"/>
    <xf numFmtId="7" fontId="4" fillId="2" borderId="0" xfId="2" applyNumberFormat="1" applyFont="1" applyFill="1" applyBorder="1" applyAlignment="1">
      <alignment horizontal="right"/>
    </xf>
    <xf numFmtId="173" fontId="3" fillId="2" borderId="0" xfId="2" applyNumberFormat="1" applyFont="1" applyFill="1" applyBorder="1"/>
    <xf numFmtId="0" fontId="0" fillId="2" borderId="0" xfId="0" applyFill="1" applyAlignment="1">
      <alignment wrapText="1"/>
    </xf>
    <xf numFmtId="0" fontId="5" fillId="2" borderId="0" xfId="0" applyFont="1" applyFill="1" applyBorder="1" applyAlignment="1">
      <alignment horizontal="left"/>
    </xf>
    <xf numFmtId="0" fontId="2" fillId="2" borderId="0" xfId="0" applyFont="1" applyFill="1" applyBorder="1" applyAlignment="1">
      <alignment horizontal="left"/>
    </xf>
    <xf numFmtId="178" fontId="3" fillId="2" borderId="0" xfId="2" applyNumberFormat="1" applyFont="1" applyFill="1" applyBorder="1"/>
    <xf numFmtId="5" fontId="4" fillId="2" borderId="0" xfId="2" applyNumberFormat="1" applyFont="1" applyFill="1" applyBorder="1"/>
    <xf numFmtId="5" fontId="2" fillId="2" borderId="0" xfId="2" applyNumberFormat="1" applyFont="1" applyFill="1" applyBorder="1"/>
    <xf numFmtId="175" fontId="4" fillId="2" borderId="0" xfId="2" applyNumberFormat="1" applyFont="1" applyFill="1" applyBorder="1"/>
    <xf numFmtId="175" fontId="2" fillId="2" borderId="0" xfId="0" applyNumberFormat="1" applyFont="1" applyFill="1" applyBorder="1"/>
    <xf numFmtId="172" fontId="2" fillId="2" borderId="0" xfId="0" applyNumberFormat="1" applyFont="1" applyFill="1" applyBorder="1"/>
    <xf numFmtId="180" fontId="4" fillId="2" borderId="0" xfId="2" applyNumberFormat="1" applyFont="1" applyFill="1" applyBorder="1"/>
    <xf numFmtId="180" fontId="2" fillId="2" borderId="0" xfId="2" applyNumberFormat="1" applyFont="1" applyFill="1" applyBorder="1"/>
    <xf numFmtId="7" fontId="2" fillId="2" borderId="0" xfId="2" applyNumberFormat="1" applyFont="1" applyFill="1" applyBorder="1"/>
    <xf numFmtId="0" fontId="2" fillId="2" borderId="3" xfId="0" quotePrefix="1" applyFont="1" applyFill="1" applyBorder="1" applyAlignment="1">
      <alignment horizontal="right"/>
    </xf>
    <xf numFmtId="0" fontId="8" fillId="2" borderId="0" xfId="0" applyFont="1" applyFill="1" applyBorder="1"/>
    <xf numFmtId="9" fontId="4" fillId="2" borderId="0" xfId="3" applyFont="1" applyFill="1" applyBorder="1"/>
    <xf numFmtId="9" fontId="4" fillId="2" borderId="0" xfId="3" applyFont="1" applyFill="1" applyBorder="1" applyAlignment="1">
      <alignment horizontal="right"/>
    </xf>
    <xf numFmtId="167" fontId="2" fillId="2" borderId="3" xfId="1" applyNumberFormat="1" applyFont="1" applyFill="1" applyBorder="1" applyAlignment="1">
      <alignment horizontal="right"/>
    </xf>
    <xf numFmtId="167" fontId="4" fillId="2" borderId="0" xfId="1" applyNumberFormat="1" applyFont="1" applyFill="1" applyBorder="1" applyAlignment="1">
      <alignment horizontal="right"/>
    </xf>
    <xf numFmtId="10" fontId="4" fillId="2" borderId="0" xfId="3" applyNumberFormat="1" applyFont="1" applyFill="1" applyBorder="1" applyAlignment="1">
      <alignment horizontal="right"/>
    </xf>
    <xf numFmtId="168" fontId="4" fillId="2" borderId="0" xfId="3" applyNumberFormat="1" applyFont="1" applyFill="1" applyBorder="1" applyAlignment="1">
      <alignment horizontal="center"/>
    </xf>
    <xf numFmtId="43" fontId="0" fillId="2" borderId="0" xfId="1" applyFont="1" applyFill="1" applyBorder="1"/>
    <xf numFmtId="0" fontId="0" fillId="2" borderId="0" xfId="0" applyFill="1" applyAlignment="1">
      <alignment vertical="center"/>
    </xf>
    <xf numFmtId="0" fontId="2" fillId="2" borderId="3" xfId="0" applyFont="1" applyFill="1" applyBorder="1" applyAlignment="1">
      <alignment horizontal="center"/>
    </xf>
    <xf numFmtId="44" fontId="2" fillId="2" borderId="0" xfId="2" applyFont="1" applyFill="1" applyBorder="1" applyAlignment="1">
      <alignment horizontal="center"/>
    </xf>
    <xf numFmtId="0" fontId="5" fillId="2" borderId="0" xfId="0" applyFont="1" applyFill="1" applyBorder="1" applyAlignment="1">
      <alignment horizontal="center"/>
    </xf>
    <xf numFmtId="43" fontId="2" fillId="2" borderId="0" xfId="1" applyFont="1" applyFill="1" applyBorder="1" applyAlignment="1">
      <alignment horizontal="center"/>
    </xf>
    <xf numFmtId="44" fontId="3" fillId="2" borderId="0" xfId="2" applyFont="1" applyFill="1" applyBorder="1" applyAlignment="1">
      <alignment horizontal="center"/>
    </xf>
    <xf numFmtId="0" fontId="0" fillId="2" borderId="0" xfId="0" applyFill="1" applyAlignment="1"/>
    <xf numFmtId="168" fontId="4" fillId="2" borderId="0" xfId="3" applyNumberFormat="1" applyFont="1" applyFill="1" applyBorder="1" applyAlignment="1">
      <alignment horizontal="right"/>
    </xf>
    <xf numFmtId="167" fontId="2" fillId="2" borderId="0" xfId="0" applyNumberFormat="1" applyFont="1" applyFill="1" applyBorder="1"/>
    <xf numFmtId="43" fontId="2" fillId="2" borderId="3" xfId="0" applyNumberFormat="1" applyFont="1" applyFill="1" applyBorder="1"/>
    <xf numFmtId="168" fontId="2" fillId="2" borderId="0" xfId="2" applyNumberFormat="1" applyFont="1" applyFill="1" applyBorder="1"/>
    <xf numFmtId="9" fontId="4" fillId="2" borderId="0" xfId="3" applyNumberFormat="1" applyFont="1" applyFill="1" applyBorder="1"/>
    <xf numFmtId="9" fontId="2" fillId="2" borderId="3" xfId="0" applyNumberFormat="1" applyFont="1" applyFill="1" applyBorder="1"/>
    <xf numFmtId="9" fontId="2" fillId="2" borderId="3" xfId="0" applyNumberFormat="1" applyFont="1" applyFill="1" applyBorder="1" applyAlignment="1">
      <alignment horizontal="right"/>
    </xf>
    <xf numFmtId="173" fontId="0" fillId="2" borderId="0" xfId="0" applyNumberFormat="1" applyFill="1" applyBorder="1"/>
    <xf numFmtId="172" fontId="2" fillId="2" borderId="0" xfId="0" applyNumberFormat="1" applyFont="1" applyFill="1" applyBorder="1" applyAlignment="1">
      <alignment horizontal="center"/>
    </xf>
    <xf numFmtId="173" fontId="2" fillId="2" borderId="0" xfId="0" applyNumberFormat="1" applyFont="1" applyFill="1" applyBorder="1"/>
    <xf numFmtId="173" fontId="2" fillId="2" borderId="0" xfId="0" applyNumberFormat="1" applyFont="1" applyFill="1" applyBorder="1" applyAlignment="1">
      <alignment horizontal="center"/>
    </xf>
    <xf numFmtId="173" fontId="7" fillId="2" borderId="0" xfId="0" applyNumberFormat="1" applyFont="1" applyFill="1" applyBorder="1"/>
    <xf numFmtId="173" fontId="5" fillId="2" borderId="0" xfId="0" applyNumberFormat="1" applyFont="1" applyFill="1" applyBorder="1"/>
    <xf numFmtId="173" fontId="3" fillId="2" borderId="0" xfId="0" applyNumberFormat="1" applyFont="1" applyFill="1" applyBorder="1"/>
    <xf numFmtId="181" fontId="4" fillId="2" borderId="0" xfId="1" applyNumberFormat="1" applyFont="1" applyFill="1" applyBorder="1" applyAlignment="1">
      <alignment horizontal="right"/>
    </xf>
    <xf numFmtId="181" fontId="2" fillId="2" borderId="0" xfId="1" applyNumberFormat="1" applyFont="1" applyFill="1" applyBorder="1" applyAlignment="1">
      <alignment horizontal="right"/>
    </xf>
    <xf numFmtId="5" fontId="2" fillId="2" borderId="0" xfId="0" applyNumberFormat="1" applyFont="1" applyFill="1" applyBorder="1"/>
    <xf numFmtId="5" fontId="0" fillId="2" borderId="0" xfId="0" applyNumberFormat="1" applyFill="1" applyBorder="1"/>
    <xf numFmtId="5" fontId="2" fillId="2" borderId="0" xfId="0" applyNumberFormat="1" applyFont="1" applyFill="1" applyBorder="1" applyAlignment="1">
      <alignment horizontal="right"/>
    </xf>
    <xf numFmtId="43" fontId="4" fillId="2" borderId="0" xfId="1" applyNumberFormat="1" applyFont="1" applyFill="1" applyBorder="1"/>
    <xf numFmtId="164" fontId="4" fillId="2" borderId="0" xfId="1" applyNumberFormat="1" applyFont="1" applyFill="1" applyBorder="1"/>
    <xf numFmtId="164" fontId="2" fillId="2" borderId="0" xfId="1" applyNumberFormat="1" applyFont="1" applyFill="1" applyBorder="1"/>
    <xf numFmtId="168" fontId="2" fillId="2" borderId="3" xfId="0" applyNumberFormat="1" applyFont="1" applyFill="1" applyBorder="1"/>
    <xf numFmtId="164" fontId="2" fillId="2" borderId="3" xfId="1" applyNumberFormat="1" applyFont="1" applyFill="1" applyBorder="1"/>
    <xf numFmtId="0" fontId="5" fillId="2" borderId="0" xfId="0" quotePrefix="1" applyFont="1" applyFill="1" applyBorder="1"/>
    <xf numFmtId="16" fontId="5" fillId="2" borderId="0" xfId="0" quotePrefix="1" applyNumberFormat="1" applyFont="1" applyFill="1" applyBorder="1"/>
    <xf numFmtId="179" fontId="4" fillId="2" borderId="0" xfId="1" applyNumberFormat="1" applyFont="1" applyFill="1" applyBorder="1"/>
    <xf numFmtId="165" fontId="2" fillId="2" borderId="0" xfId="1" quotePrefix="1" applyNumberFormat="1" applyFont="1" applyFill="1" applyBorder="1" applyAlignment="1">
      <alignment horizontal="right"/>
    </xf>
    <xf numFmtId="165" fontId="4" fillId="2" borderId="3" xfId="1" applyNumberFormat="1" applyFont="1" applyFill="1" applyBorder="1"/>
    <xf numFmtId="167" fontId="4" fillId="2" borderId="3" xfId="1" applyNumberFormat="1" applyFont="1" applyFill="1" applyBorder="1"/>
    <xf numFmtId="5" fontId="2" fillId="2" borderId="3" xfId="2" applyNumberFormat="1" applyFont="1" applyFill="1" applyBorder="1"/>
    <xf numFmtId="0" fontId="9" fillId="2" borderId="0" xfId="0" applyFont="1" applyFill="1" applyBorder="1" applyAlignment="1">
      <alignment horizontal="right"/>
    </xf>
    <xf numFmtId="43" fontId="2" fillId="2" borderId="3" xfId="0" applyNumberFormat="1" applyFont="1" applyFill="1" applyBorder="1" applyAlignment="1">
      <alignment horizontal="right"/>
    </xf>
    <xf numFmtId="168" fontId="2" fillId="2" borderId="0" xfId="0" applyNumberFormat="1" applyFont="1" applyFill="1" applyBorder="1"/>
    <xf numFmtId="43" fontId="2" fillId="2" borderId="3" xfId="1" applyFont="1" applyFill="1" applyBorder="1"/>
    <xf numFmtId="44" fontId="3" fillId="2" borderId="0" xfId="0" applyNumberFormat="1" applyFont="1" applyFill="1" applyBorder="1"/>
    <xf numFmtId="182" fontId="2" fillId="2" borderId="0" xfId="2" applyNumberFormat="1" applyFont="1" applyFill="1" applyBorder="1"/>
    <xf numFmtId="176" fontId="2" fillId="2" borderId="0" xfId="1" applyNumberFormat="1" applyFont="1" applyFill="1" applyBorder="1"/>
    <xf numFmtId="182" fontId="4" fillId="2" borderId="0" xfId="2" applyNumberFormat="1" applyFont="1" applyFill="1" applyBorder="1"/>
    <xf numFmtId="176" fontId="4" fillId="2" borderId="0" xfId="1" applyNumberFormat="1" applyFont="1" applyFill="1" applyBorder="1"/>
    <xf numFmtId="7" fontId="4" fillId="2" borderId="0" xfId="2" applyNumberFormat="1" applyFont="1" applyFill="1" applyBorder="1"/>
    <xf numFmtId="167" fontId="2" fillId="2" borderId="0" xfId="1" applyNumberFormat="1" applyFont="1" applyFill="1" applyBorder="1" applyAlignment="1">
      <alignment horizontal="right"/>
    </xf>
    <xf numFmtId="167" fontId="4" fillId="2" borderId="3" xfId="1" applyNumberFormat="1" applyFont="1" applyFill="1" applyBorder="1" applyAlignment="1">
      <alignment horizontal="right"/>
    </xf>
    <xf numFmtId="43" fontId="4" fillId="2" borderId="0" xfId="0" applyNumberFormat="1" applyFont="1" applyFill="1" applyBorder="1"/>
    <xf numFmtId="44" fontId="2" fillId="2" borderId="0" xfId="2" applyFont="1" applyFill="1" applyBorder="1" applyAlignment="1">
      <alignment horizontal="right"/>
    </xf>
    <xf numFmtId="43" fontId="2" fillId="2" borderId="3" xfId="1" applyFont="1" applyFill="1" applyBorder="1" applyAlignment="1">
      <alignment horizontal="center"/>
    </xf>
    <xf numFmtId="0" fontId="0" fillId="2" borderId="0" xfId="0" applyFill="1"/>
    <xf numFmtId="0" fontId="0" fillId="2" borderId="0" xfId="0" applyFill="1" applyAlignment="1">
      <alignment horizontal="center"/>
    </xf>
    <xf numFmtId="164" fontId="4" fillId="2" borderId="0" xfId="1" applyNumberFormat="1" applyFont="1" applyFill="1" applyBorder="1" applyAlignment="1">
      <alignment horizontal="right"/>
    </xf>
    <xf numFmtId="166" fontId="4" fillId="2" borderId="0" xfId="3" applyNumberFormat="1" applyFont="1" applyFill="1" applyBorder="1" applyAlignment="1">
      <alignment horizontal="right"/>
    </xf>
    <xf numFmtId="10" fontId="2" fillId="2" borderId="0" xfId="3" applyNumberFormat="1" applyFont="1" applyFill="1" applyBorder="1"/>
    <xf numFmtId="169" fontId="4" fillId="2" borderId="0" xfId="3" applyNumberFormat="1" applyFont="1" applyFill="1" applyBorder="1"/>
    <xf numFmtId="168" fontId="0" fillId="2" borderId="0" xfId="3" applyNumberFormat="1" applyFont="1" applyFill="1" applyBorder="1"/>
    <xf numFmtId="171" fontId="4" fillId="2" borderId="0" xfId="3" applyNumberFormat="1" applyFont="1" applyFill="1" applyBorder="1" applyAlignment="1">
      <alignment horizontal="right"/>
    </xf>
    <xf numFmtId="166" fontId="4" fillId="2" borderId="0" xfId="3" applyNumberFormat="1" applyFont="1" applyFill="1" applyBorder="1"/>
    <xf numFmtId="170" fontId="2" fillId="2" borderId="0" xfId="1" applyNumberFormat="1" applyFont="1" applyFill="1" applyBorder="1"/>
    <xf numFmtId="168" fontId="2" fillId="2" borderId="0" xfId="3" applyNumberFormat="1" applyFont="1" applyFill="1" applyBorder="1"/>
    <xf numFmtId="171" fontId="2" fillId="2" borderId="0" xfId="3" applyNumberFormat="1" applyFont="1" applyFill="1" applyBorder="1"/>
    <xf numFmtId="0" fontId="0" fillId="2" borderId="11" xfId="0" applyFill="1" applyBorder="1"/>
    <xf numFmtId="0" fontId="0" fillId="2" borderId="12" xfId="0" applyFill="1" applyBorder="1" applyAlignment="1">
      <alignment horizontal="center"/>
    </xf>
    <xf numFmtId="0" fontId="0" fillId="2" borderId="13" xfId="0" applyFill="1" applyBorder="1" applyAlignment="1">
      <alignment horizontal="center"/>
    </xf>
    <xf numFmtId="0" fontId="2" fillId="2" borderId="14" xfId="0" applyFont="1" applyFill="1" applyBorder="1" applyAlignment="1">
      <alignment horizontal="right"/>
    </xf>
    <xf numFmtId="0" fontId="2" fillId="2" borderId="15" xfId="0" applyFont="1" applyFill="1" applyBorder="1" applyAlignment="1">
      <alignment horizontal="left"/>
    </xf>
    <xf numFmtId="0" fontId="2" fillId="2" borderId="16" xfId="0" applyFont="1" applyFill="1" applyBorder="1" applyAlignment="1">
      <alignment horizontal="right"/>
    </xf>
    <xf numFmtId="167" fontId="2" fillId="2" borderId="13" xfId="1" quotePrefix="1" applyNumberFormat="1" applyFont="1" applyFill="1" applyBorder="1" applyAlignment="1">
      <alignment horizontal="left"/>
    </xf>
    <xf numFmtId="167" fontId="2" fillId="2" borderId="15" xfId="1" quotePrefix="1" applyNumberFormat="1" applyFont="1" applyFill="1" applyBorder="1" applyAlignment="1">
      <alignment horizontal="left"/>
    </xf>
    <xf numFmtId="168" fontId="0" fillId="2" borderId="0" xfId="3" applyNumberFormat="1" applyFont="1" applyFill="1" applyBorder="1" applyAlignment="1">
      <alignment horizontal="right"/>
    </xf>
    <xf numFmtId="171" fontId="2" fillId="2" borderId="0" xfId="3" applyNumberFormat="1" applyFont="1" applyFill="1" applyBorder="1" applyAlignment="1">
      <alignment horizontal="right"/>
    </xf>
    <xf numFmtId="166" fontId="0" fillId="2" borderId="0" xfId="3" applyNumberFormat="1" applyFont="1" applyFill="1" applyBorder="1"/>
    <xf numFmtId="2" fontId="5" fillId="2" borderId="0" xfId="0" applyNumberFormat="1" applyFont="1" applyFill="1" applyBorder="1" applyAlignment="1">
      <alignment horizontal="right"/>
    </xf>
    <xf numFmtId="174" fontId="4" fillId="2" borderId="0" xfId="1" applyNumberFormat="1" applyFont="1" applyFill="1" applyBorder="1" applyAlignment="1">
      <alignment horizontal="right"/>
    </xf>
    <xf numFmtId="174" fontId="2" fillId="2" borderId="0" xfId="0" applyNumberFormat="1" applyFont="1" applyFill="1" applyBorder="1" applyAlignment="1">
      <alignment horizontal="right"/>
    </xf>
    <xf numFmtId="173" fontId="2" fillId="2" borderId="0" xfId="2" quotePrefix="1" applyNumberFormat="1" applyFont="1" applyFill="1" applyBorder="1" applyAlignment="1">
      <alignment horizontal="center"/>
    </xf>
    <xf numFmtId="173" fontId="3" fillId="2" borderId="0" xfId="2" applyNumberFormat="1" applyFont="1" applyFill="1" applyBorder="1" applyAlignment="1">
      <alignment horizontal="center"/>
    </xf>
    <xf numFmtId="173" fontId="7" fillId="2" borderId="0" xfId="2" applyNumberFormat="1" applyFont="1" applyFill="1" applyBorder="1" applyAlignment="1">
      <alignment horizontal="center"/>
    </xf>
    <xf numFmtId="43" fontId="2" fillId="2" borderId="0" xfId="1" applyFont="1" applyFill="1" applyBorder="1" applyAlignment="1">
      <alignment horizontal="right"/>
    </xf>
    <xf numFmtId="173" fontId="2" fillId="2" borderId="0" xfId="2" applyNumberFormat="1" applyFont="1" applyFill="1" applyBorder="1" applyAlignment="1">
      <alignment horizontal="right"/>
    </xf>
    <xf numFmtId="173" fontId="3" fillId="2" borderId="0" xfId="0" applyNumberFormat="1" applyFont="1" applyFill="1" applyBorder="1" applyAlignment="1">
      <alignment horizontal="right"/>
    </xf>
    <xf numFmtId="173" fontId="7" fillId="2" borderId="0" xfId="0" applyNumberFormat="1" applyFont="1" applyFill="1" applyBorder="1" applyAlignment="1">
      <alignment horizontal="right"/>
    </xf>
    <xf numFmtId="44" fontId="2" fillId="2" borderId="0" xfId="2" quotePrefix="1" applyFont="1" applyFill="1" applyBorder="1" applyAlignment="1">
      <alignment horizontal="right"/>
    </xf>
    <xf numFmtId="180" fontId="4" fillId="2" borderId="0" xfId="2" applyNumberFormat="1" applyFont="1" applyFill="1" applyBorder="1" applyAlignment="1">
      <alignment horizontal="right"/>
    </xf>
    <xf numFmtId="180" fontId="2" fillId="2" borderId="0" xfId="2" applyNumberFormat="1" applyFont="1" applyFill="1" applyBorder="1" applyAlignment="1">
      <alignment horizontal="right"/>
    </xf>
    <xf numFmtId="5" fontId="2" fillId="2" borderId="0" xfId="2" applyNumberFormat="1" applyFont="1" applyFill="1" applyBorder="1" applyAlignment="1">
      <alignment horizontal="right"/>
    </xf>
    <xf numFmtId="180" fontId="4" fillId="2" borderId="14" xfId="2" applyNumberFormat="1" applyFont="1" applyFill="1" applyBorder="1" applyAlignment="1">
      <alignment horizontal="right"/>
    </xf>
    <xf numFmtId="180" fontId="4" fillId="2" borderId="16" xfId="2" applyNumberFormat="1" applyFont="1" applyFill="1" applyBorder="1" applyAlignment="1">
      <alignment horizontal="right"/>
    </xf>
    <xf numFmtId="167" fontId="2" fillId="3" borderId="10" xfId="1" applyNumberFormat="1" applyFont="1" applyFill="1" applyBorder="1"/>
    <xf numFmtId="43" fontId="2" fillId="3" borderId="10" xfId="1" applyFont="1" applyFill="1" applyBorder="1"/>
    <xf numFmtId="44" fontId="2" fillId="3" borderId="10" xfId="2" applyFont="1" applyFill="1" applyBorder="1"/>
    <xf numFmtId="7" fontId="2" fillId="3" borderId="10" xfId="2" applyNumberFormat="1" applyFont="1" applyFill="1" applyBorder="1"/>
    <xf numFmtId="166" fontId="2" fillId="3" borderId="10" xfId="3" applyNumberFormat="1" applyFont="1" applyFill="1" applyBorder="1"/>
    <xf numFmtId="5" fontId="2" fillId="3" borderId="10" xfId="2" applyNumberFormat="1" applyFont="1" applyFill="1" applyBorder="1"/>
    <xf numFmtId="178" fontId="2" fillId="3" borderId="10" xfId="2" applyNumberFormat="1" applyFont="1" applyFill="1" applyBorder="1"/>
    <xf numFmtId="168" fontId="2" fillId="2" borderId="3" xfId="3" applyNumberFormat="1" applyFont="1" applyFill="1" applyBorder="1"/>
    <xf numFmtId="9" fontId="2" fillId="3" borderId="0" xfId="0" applyNumberFormat="1" applyFont="1" applyFill="1" applyBorder="1"/>
    <xf numFmtId="167" fontId="2" fillId="3" borderId="0" xfId="0" applyNumberFormat="1" applyFont="1" applyFill="1" applyBorder="1"/>
    <xf numFmtId="167" fontId="2" fillId="3" borderId="3" xfId="0" applyNumberFormat="1" applyFont="1" applyFill="1" applyBorder="1"/>
    <xf numFmtId="7" fontId="2" fillId="3" borderId="17" xfId="2" applyNumberFormat="1" applyFont="1" applyFill="1" applyBorder="1" applyAlignment="1">
      <alignment horizontal="right"/>
    </xf>
    <xf numFmtId="183" fontId="2" fillId="3" borderId="17" xfId="2" applyNumberFormat="1" applyFont="1" applyFill="1" applyBorder="1" applyAlignment="1">
      <alignment horizontal="right"/>
    </xf>
    <xf numFmtId="5" fontId="2" fillId="4" borderId="10" xfId="2" applyNumberFormat="1" applyFont="1" applyFill="1" applyBorder="1"/>
    <xf numFmtId="5" fontId="2" fillId="3" borderId="10" xfId="0" applyNumberFormat="1" applyFont="1" applyFill="1" applyBorder="1"/>
    <xf numFmtId="0" fontId="2" fillId="2" borderId="18" xfId="0" applyFont="1" applyFill="1" applyBorder="1" applyAlignment="1">
      <alignment horizontal="center"/>
    </xf>
    <xf numFmtId="0" fontId="5" fillId="2" borderId="0" xfId="0" applyFont="1" applyFill="1" applyAlignment="1">
      <alignment wrapText="1"/>
    </xf>
    <xf numFmtId="0" fontId="5" fillId="6" borderId="8" xfId="0" applyFont="1" applyFill="1" applyBorder="1"/>
    <xf numFmtId="43" fontId="5" fillId="6" borderId="8" xfId="1" applyFont="1" applyFill="1" applyBorder="1"/>
    <xf numFmtId="168" fontId="5" fillId="6" borderId="8" xfId="3" applyNumberFormat="1" applyFont="1" applyFill="1" applyBorder="1"/>
    <xf numFmtId="0" fontId="5" fillId="6" borderId="0" xfId="0" applyFont="1" applyFill="1" applyBorder="1"/>
    <xf numFmtId="43" fontId="5" fillId="6" borderId="0" xfId="1" applyFont="1" applyFill="1" applyBorder="1"/>
    <xf numFmtId="168" fontId="5" fillId="6" borderId="0" xfId="3" applyNumberFormat="1" applyFont="1" applyFill="1" applyBorder="1"/>
    <xf numFmtId="0" fontId="5" fillId="6" borderId="5" xfId="0" applyFont="1" applyFill="1" applyBorder="1"/>
    <xf numFmtId="43" fontId="5" fillId="6" borderId="5" xfId="1" applyFont="1" applyFill="1" applyBorder="1"/>
    <xf numFmtId="168" fontId="5" fillId="6" borderId="0" xfId="3" applyNumberFormat="1" applyFont="1" applyFill="1" applyBorder="1" applyAlignment="1">
      <alignment horizontal="left"/>
    </xf>
    <xf numFmtId="43" fontId="5" fillId="6" borderId="8" xfId="1" applyFont="1" applyFill="1" applyBorder="1" applyAlignment="1">
      <alignment horizontal="left"/>
    </xf>
    <xf numFmtId="43" fontId="5" fillId="6" borderId="0" xfId="1" applyFont="1" applyFill="1" applyBorder="1" applyAlignment="1">
      <alignment horizontal="left"/>
    </xf>
    <xf numFmtId="0" fontId="0" fillId="2" borderId="0" xfId="0" applyFill="1" applyAlignment="1">
      <alignment horizontal="left" vertical="center" wrapText="1"/>
    </xf>
    <xf numFmtId="168" fontId="5" fillId="6" borderId="5" xfId="3" applyNumberFormat="1" applyFont="1" applyFill="1" applyBorder="1" applyAlignment="1">
      <alignment horizontal="left"/>
    </xf>
    <xf numFmtId="168" fontId="5" fillId="6" borderId="0" xfId="3" applyNumberFormat="1" applyFont="1" applyFill="1" applyBorder="1" applyAlignment="1">
      <alignment horizontal="right"/>
    </xf>
    <xf numFmtId="168" fontId="5" fillId="6" borderId="5" xfId="3" applyNumberFormat="1" applyFont="1" applyFill="1" applyBorder="1" applyAlignment="1">
      <alignment horizontal="right"/>
    </xf>
    <xf numFmtId="180" fontId="5" fillId="6" borderId="8" xfId="2" applyNumberFormat="1" applyFont="1" applyFill="1" applyBorder="1"/>
    <xf numFmtId="180" fontId="5" fillId="6" borderId="0" xfId="2" applyNumberFormat="1" applyFont="1" applyFill="1" applyBorder="1"/>
    <xf numFmtId="168" fontId="5" fillId="6" borderId="5" xfId="3" applyNumberFormat="1" applyFont="1" applyFill="1" applyBorder="1"/>
    <xf numFmtId="171" fontId="0" fillId="6" borderId="8" xfId="0" applyNumberFormat="1" applyFill="1" applyBorder="1"/>
    <xf numFmtId="171" fontId="0" fillId="6" borderId="0" xfId="0" applyNumberFormat="1" applyFill="1" applyBorder="1"/>
    <xf numFmtId="171" fontId="0" fillId="6" borderId="5" xfId="0" applyNumberFormat="1" applyFill="1" applyBorder="1"/>
    <xf numFmtId="0" fontId="2" fillId="6" borderId="0" xfId="0" applyFont="1" applyFill="1"/>
    <xf numFmtId="0" fontId="2" fillId="6" borderId="0" xfId="0" applyFont="1" applyFill="1" applyAlignment="1">
      <alignment horizontal="center"/>
    </xf>
    <xf numFmtId="171" fontId="0" fillId="6" borderId="8" xfId="0" applyNumberFormat="1" applyFill="1" applyBorder="1" applyAlignment="1">
      <alignment horizontal="center"/>
    </xf>
    <xf numFmtId="171" fontId="0" fillId="6" borderId="0" xfId="0" applyNumberFormat="1" applyFill="1" applyBorder="1" applyAlignment="1">
      <alignment horizontal="center"/>
    </xf>
    <xf numFmtId="171" fontId="0" fillId="6" borderId="5" xfId="0" applyNumberFormat="1" applyFill="1" applyBorder="1" applyAlignment="1">
      <alignment horizontal="center"/>
    </xf>
    <xf numFmtId="0" fontId="8" fillId="2" borderId="0" xfId="0" applyFont="1" applyFill="1" applyAlignment="1">
      <alignment wrapText="1"/>
    </xf>
    <xf numFmtId="167" fontId="14" fillId="2" borderId="8" xfId="1" applyNumberFormat="1" applyFont="1" applyFill="1" applyBorder="1" applyAlignment="1">
      <alignment horizontal="right"/>
    </xf>
    <xf numFmtId="165" fontId="14" fillId="2" borderId="0" xfId="1" applyNumberFormat="1" applyFont="1" applyFill="1" applyBorder="1"/>
    <xf numFmtId="168" fontId="14" fillId="2" borderId="0" xfId="3" applyNumberFormat="1" applyFont="1" applyFill="1" applyBorder="1"/>
    <xf numFmtId="168" fontId="14" fillId="2" borderId="5" xfId="3" applyNumberFormat="1" applyFont="1" applyFill="1" applyBorder="1"/>
    <xf numFmtId="165" fontId="14" fillId="2" borderId="8" xfId="1" applyNumberFormat="1" applyFont="1" applyFill="1" applyBorder="1"/>
    <xf numFmtId="165" fontId="14" fillId="2" borderId="5" xfId="1" applyNumberFormat="1" applyFont="1" applyFill="1" applyBorder="1"/>
    <xf numFmtId="0" fontId="0" fillId="2" borderId="0" xfId="0" applyFill="1" applyAlignment="1">
      <alignment wrapText="1"/>
    </xf>
    <xf numFmtId="0" fontId="1" fillId="2" borderId="0" xfId="0" applyFont="1" applyFill="1" applyBorder="1"/>
    <xf numFmtId="0" fontId="16" fillId="2" borderId="0" xfId="0" applyFont="1" applyFill="1" applyBorder="1" applyAlignment="1">
      <alignment horizontal="left"/>
    </xf>
    <xf numFmtId="0" fontId="16" fillId="2" borderId="0" xfId="0" applyFont="1" applyFill="1" applyBorder="1" applyAlignment="1">
      <alignment horizontal="right"/>
    </xf>
    <xf numFmtId="0" fontId="16" fillId="2" borderId="0" xfId="0" applyFont="1" applyFill="1" applyBorder="1"/>
    <xf numFmtId="0" fontId="1" fillId="2" borderId="0" xfId="0" applyFont="1" applyFill="1" applyBorder="1" applyAlignment="1">
      <alignment horizontal="right"/>
    </xf>
    <xf numFmtId="0" fontId="0" fillId="2" borderId="0" xfId="0" applyFill="1" applyAlignment="1">
      <alignment vertical="center" wrapText="1"/>
    </xf>
    <xf numFmtId="0" fontId="0" fillId="2" borderId="0" xfId="0" applyFill="1" applyAlignment="1">
      <alignment wrapText="1"/>
    </xf>
    <xf numFmtId="0" fontId="0" fillId="0" borderId="0" xfId="0" applyAlignment="1"/>
    <xf numFmtId="0" fontId="1" fillId="2" borderId="5" xfId="0" applyFont="1" applyFill="1" applyBorder="1"/>
    <xf numFmtId="0" fontId="1" fillId="2" borderId="0" xfId="0" applyFont="1" applyFill="1" applyBorder="1" applyAlignment="1">
      <alignment vertical="center"/>
    </xf>
    <xf numFmtId="0" fontId="1" fillId="6" borderId="7" xfId="0" applyFont="1" applyFill="1" applyBorder="1"/>
    <xf numFmtId="0" fontId="1" fillId="6" borderId="8" xfId="0" applyFont="1" applyFill="1" applyBorder="1"/>
    <xf numFmtId="0" fontId="1" fillId="6" borderId="9" xfId="0" applyFont="1" applyFill="1" applyBorder="1"/>
    <xf numFmtId="0" fontId="1" fillId="0" borderId="0" xfId="0" applyFont="1"/>
    <xf numFmtId="0" fontId="1" fillId="0" borderId="1" xfId="0" applyFont="1" applyBorder="1"/>
    <xf numFmtId="0" fontId="1" fillId="0" borderId="2" xfId="0" applyFont="1" applyBorder="1"/>
    <xf numFmtId="0" fontId="1" fillId="0" borderId="0" xfId="0" applyFont="1" applyAlignment="1"/>
    <xf numFmtId="0" fontId="1" fillId="6" borderId="1" xfId="0" applyFont="1" applyFill="1" applyBorder="1"/>
    <xf numFmtId="0" fontId="1" fillId="6" borderId="0" xfId="0" applyFont="1" applyFill="1" applyBorder="1"/>
    <xf numFmtId="0" fontId="1" fillId="6" borderId="2" xfId="0" applyFont="1" applyFill="1" applyBorder="1"/>
    <xf numFmtId="0" fontId="2" fillId="6" borderId="0" xfId="0" applyFont="1" applyFill="1" applyBorder="1"/>
    <xf numFmtId="0" fontId="2" fillId="6" borderId="3" xfId="0" applyFont="1" applyFill="1" applyBorder="1"/>
    <xf numFmtId="0" fontId="2" fillId="6" borderId="3" xfId="0" applyFont="1" applyFill="1" applyBorder="1" applyAlignment="1">
      <alignment horizontal="right"/>
    </xf>
    <xf numFmtId="173" fontId="4" fillId="6" borderId="0" xfId="2" applyNumberFormat="1" applyFont="1" applyFill="1" applyBorder="1"/>
    <xf numFmtId="172" fontId="4" fillId="6" borderId="0" xfId="2" applyNumberFormat="1" applyFont="1" applyFill="1" applyBorder="1"/>
    <xf numFmtId="10" fontId="4" fillId="6" borderId="0" xfId="3" applyNumberFormat="1" applyFont="1" applyFill="1" applyBorder="1"/>
    <xf numFmtId="0" fontId="1" fillId="6" borderId="0" xfId="0" applyFont="1" applyFill="1" applyBorder="1" applyAlignment="1">
      <alignment horizontal="center"/>
    </xf>
    <xf numFmtId="0" fontId="2" fillId="6" borderId="1" xfId="0" applyFont="1" applyFill="1" applyBorder="1"/>
    <xf numFmtId="0" fontId="2" fillId="6" borderId="2" xfId="0" applyFont="1" applyFill="1" applyBorder="1"/>
    <xf numFmtId="0" fontId="2" fillId="0" borderId="0" xfId="0" applyFont="1"/>
    <xf numFmtId="165" fontId="2" fillId="6" borderId="0" xfId="1" applyNumberFormat="1" applyFont="1" applyFill="1" applyBorder="1"/>
    <xf numFmtId="175" fontId="2" fillId="6" borderId="11" xfId="0" applyNumberFormat="1" applyFont="1" applyFill="1" applyBorder="1"/>
    <xf numFmtId="175" fontId="2" fillId="6" borderId="3" xfId="0" applyNumberFormat="1" applyFont="1" applyFill="1" applyBorder="1"/>
    <xf numFmtId="172" fontId="2" fillId="6" borderId="0" xfId="0" applyNumberFormat="1" applyFont="1" applyFill="1" applyBorder="1"/>
    <xf numFmtId="175" fontId="3" fillId="6" borderId="22" xfId="0" applyNumberFormat="1" applyFont="1" applyFill="1" applyBorder="1"/>
    <xf numFmtId="184" fontId="3" fillId="6" borderId="0" xfId="0" applyNumberFormat="1" applyFont="1" applyFill="1" applyBorder="1"/>
    <xf numFmtId="0" fontId="2" fillId="6" borderId="0" xfId="0" applyFont="1" applyFill="1" applyBorder="1" applyAlignment="1">
      <alignment horizontal="right"/>
    </xf>
    <xf numFmtId="44" fontId="2" fillId="6" borderId="11" xfId="2" applyFont="1" applyFill="1" applyBorder="1" applyAlignment="1">
      <alignment horizontal="right"/>
    </xf>
    <xf numFmtId="175" fontId="2" fillId="6" borderId="0" xfId="0" applyNumberFormat="1" applyFont="1" applyFill="1" applyBorder="1"/>
    <xf numFmtId="44" fontId="2" fillId="6" borderId="3" xfId="2" applyFont="1" applyFill="1" applyBorder="1"/>
    <xf numFmtId="44" fontId="3" fillId="6" borderId="22" xfId="0" applyNumberFormat="1" applyFont="1" applyFill="1" applyBorder="1"/>
    <xf numFmtId="0" fontId="1" fillId="6" borderId="4" xfId="0" applyFont="1" applyFill="1" applyBorder="1"/>
    <xf numFmtId="0" fontId="1" fillId="6" borderId="5" xfId="0" applyFont="1" applyFill="1" applyBorder="1"/>
    <xf numFmtId="0" fontId="1" fillId="6" borderId="6" xfId="0" applyFont="1" applyFill="1" applyBorder="1"/>
    <xf numFmtId="0" fontId="1" fillId="0" borderId="0" xfId="0" applyFont="1" applyBorder="1"/>
    <xf numFmtId="0" fontId="1" fillId="2" borderId="7" xfId="0" applyFont="1" applyFill="1" applyBorder="1"/>
    <xf numFmtId="0" fontId="1" fillId="2" borderId="8" xfId="0" applyFont="1" applyFill="1" applyBorder="1"/>
    <xf numFmtId="0" fontId="1" fillId="2" borderId="9" xfId="0" applyFont="1" applyFill="1" applyBorder="1"/>
    <xf numFmtId="0" fontId="1" fillId="2" borderId="1" xfId="0" applyFont="1" applyFill="1" applyBorder="1"/>
    <xf numFmtId="0" fontId="1" fillId="2" borderId="2" xfId="0" applyFont="1" applyFill="1" applyBorder="1"/>
    <xf numFmtId="0" fontId="1" fillId="2" borderId="0" xfId="0" applyFont="1" applyFill="1"/>
    <xf numFmtId="0" fontId="3" fillId="2" borderId="0" xfId="0" applyFont="1" applyFill="1" applyBorder="1" applyAlignment="1">
      <alignment horizontal="center"/>
    </xf>
    <xf numFmtId="173" fontId="2" fillId="2" borderId="10" xfId="2" applyNumberFormat="1" applyFont="1" applyFill="1" applyBorder="1"/>
    <xf numFmtId="0" fontId="11" fillId="2" borderId="0" xfId="0" applyFont="1" applyFill="1" applyBorder="1" applyAlignment="1">
      <alignment horizontal="center"/>
    </xf>
    <xf numFmtId="185" fontId="2" fillId="2" borderId="0" xfId="1" applyNumberFormat="1" applyFont="1" applyFill="1" applyBorder="1" applyAlignment="1">
      <alignment horizontal="center"/>
    </xf>
    <xf numFmtId="0" fontId="1" fillId="2" borderId="0" xfId="0" quotePrefix="1" applyFont="1" applyFill="1" applyBorder="1"/>
    <xf numFmtId="0" fontId="1" fillId="7" borderId="23" xfId="0" applyFont="1" applyFill="1" applyBorder="1"/>
    <xf numFmtId="0" fontId="1" fillId="7" borderId="24" xfId="0" applyFont="1" applyFill="1" applyBorder="1"/>
    <xf numFmtId="0" fontId="1" fillId="7" borderId="25" xfId="0" applyFont="1" applyFill="1" applyBorder="1"/>
    <xf numFmtId="0" fontId="1" fillId="7" borderId="26" xfId="0" applyFont="1" applyFill="1" applyBorder="1"/>
    <xf numFmtId="0" fontId="1" fillId="7" borderId="0" xfId="0" applyFont="1" applyFill="1" applyBorder="1"/>
    <xf numFmtId="0" fontId="1" fillId="7" borderId="27" xfId="0" applyFont="1" applyFill="1" applyBorder="1"/>
    <xf numFmtId="0" fontId="2" fillId="7" borderId="0" xfId="0" quotePrefix="1" applyFont="1" applyFill="1" applyBorder="1" applyAlignment="1">
      <alignment horizontal="center"/>
    </xf>
    <xf numFmtId="2" fontId="4" fillId="2" borderId="0" xfId="1" applyNumberFormat="1" applyFont="1" applyFill="1" applyBorder="1" applyAlignment="1">
      <alignment horizontal="center"/>
    </xf>
    <xf numFmtId="0" fontId="1" fillId="7" borderId="28" xfId="0" applyFont="1" applyFill="1" applyBorder="1"/>
    <xf numFmtId="0" fontId="1" fillId="7" borderId="29" xfId="0" applyFont="1" applyFill="1" applyBorder="1"/>
    <xf numFmtId="0" fontId="1" fillId="7" borderId="30" xfId="0" applyFont="1" applyFill="1" applyBorder="1"/>
    <xf numFmtId="167" fontId="2" fillId="2" borderId="10" xfId="1" applyNumberFormat="1" applyFont="1" applyFill="1" applyBorder="1"/>
    <xf numFmtId="167" fontId="18" fillId="2" borderId="0" xfId="1" applyNumberFormat="1" applyFont="1" applyFill="1" applyBorder="1" applyAlignment="1">
      <alignment horizontal="left"/>
    </xf>
    <xf numFmtId="0" fontId="1" fillId="2" borderId="0" xfId="0" applyFont="1" applyFill="1" applyBorder="1" applyAlignment="1">
      <alignment horizontal="center"/>
    </xf>
    <xf numFmtId="43" fontId="3" fillId="2" borderId="0" xfId="1" applyFont="1" applyFill="1" applyBorder="1" applyAlignment="1">
      <alignment horizontal="right"/>
    </xf>
    <xf numFmtId="186" fontId="2" fillId="2" borderId="0" xfId="1" applyNumberFormat="1" applyFont="1" applyFill="1" applyBorder="1" applyAlignment="1">
      <alignment horizontal="center"/>
    </xf>
    <xf numFmtId="167" fontId="2" fillId="2" borderId="0" xfId="1" applyNumberFormat="1" applyFont="1" applyFill="1" applyBorder="1" applyAlignment="1">
      <alignment horizontal="center"/>
    </xf>
    <xf numFmtId="167" fontId="2" fillId="2" borderId="3" xfId="0" applyNumberFormat="1" applyFont="1" applyFill="1" applyBorder="1"/>
    <xf numFmtId="167" fontId="3" fillId="2" borderId="0" xfId="0" applyNumberFormat="1" applyFont="1" applyFill="1" applyBorder="1" applyAlignment="1">
      <alignment horizontal="center"/>
    </xf>
    <xf numFmtId="167" fontId="3" fillId="3" borderId="10" xfId="1" applyNumberFormat="1" applyFont="1" applyFill="1" applyBorder="1" applyAlignment="1">
      <alignment horizontal="center"/>
    </xf>
    <xf numFmtId="0" fontId="18" fillId="2" borderId="0" xfId="0" applyFont="1" applyFill="1"/>
    <xf numFmtId="0" fontId="2" fillId="2" borderId="0" xfId="0" applyFont="1" applyFill="1" applyAlignment="1">
      <alignment horizontal="center"/>
    </xf>
    <xf numFmtId="0" fontId="1" fillId="2" borderId="4" xfId="0" applyFont="1" applyFill="1" applyBorder="1"/>
    <xf numFmtId="0" fontId="1" fillId="2" borderId="6" xfId="0" applyFont="1" applyFill="1" applyBorder="1"/>
    <xf numFmtId="0" fontId="0" fillId="6" borderId="0" xfId="0" applyFill="1" applyAlignment="1">
      <alignment vertical="center" wrapText="1"/>
    </xf>
    <xf numFmtId="0" fontId="1" fillId="6" borderId="0" xfId="0" applyFont="1" applyFill="1"/>
    <xf numFmtId="0" fontId="0" fillId="6" borderId="7" xfId="0" applyFill="1" applyBorder="1"/>
    <xf numFmtId="0" fontId="0" fillId="6" borderId="8" xfId="0" applyFill="1" applyBorder="1"/>
    <xf numFmtId="0" fontId="0" fillId="6" borderId="9" xfId="0" applyFill="1" applyBorder="1"/>
    <xf numFmtId="0" fontId="0" fillId="6" borderId="1" xfId="0" applyFill="1" applyBorder="1"/>
    <xf numFmtId="0" fontId="0" fillId="6" borderId="2" xfId="0" applyFill="1" applyBorder="1" applyAlignment="1"/>
    <xf numFmtId="0" fontId="0" fillId="6" borderId="0" xfId="0" applyFill="1" applyBorder="1"/>
    <xf numFmtId="0" fontId="0" fillId="6" borderId="2" xfId="0" applyFill="1" applyBorder="1"/>
    <xf numFmtId="6" fontId="4" fillId="6" borderId="0" xfId="0" applyNumberFormat="1" applyFont="1" applyFill="1" applyBorder="1"/>
    <xf numFmtId="0" fontId="4" fillId="6" borderId="0" xfId="0" applyFont="1" applyFill="1" applyBorder="1"/>
    <xf numFmtId="6" fontId="2" fillId="6" borderId="0" xfId="0" applyNumberFormat="1" applyFont="1" applyFill="1" applyBorder="1"/>
    <xf numFmtId="168" fontId="4" fillId="6" borderId="0" xfId="0" applyNumberFormat="1" applyFont="1" applyFill="1" applyBorder="1"/>
    <xf numFmtId="3" fontId="2" fillId="6" borderId="0" xfId="0" applyNumberFormat="1" applyFont="1" applyFill="1" applyBorder="1"/>
    <xf numFmtId="3" fontId="2" fillId="6" borderId="3" xfId="0" applyNumberFormat="1" applyFont="1" applyFill="1" applyBorder="1"/>
    <xf numFmtId="3" fontId="3" fillId="6" borderId="0" xfId="0" applyNumberFormat="1" applyFont="1" applyFill="1" applyBorder="1"/>
    <xf numFmtId="0" fontId="3" fillId="6" borderId="0" xfId="0" applyFont="1" applyFill="1" applyBorder="1"/>
    <xf numFmtId="0" fontId="2" fillId="6" borderId="0" xfId="0" applyFont="1" applyFill="1" applyBorder="1" applyAlignment="1">
      <alignment horizontal="center"/>
    </xf>
    <xf numFmtId="0" fontId="0" fillId="6" borderId="4" xfId="0" applyFill="1" applyBorder="1"/>
    <xf numFmtId="0" fontId="0" fillId="6" borderId="5" xfId="0" applyFill="1" applyBorder="1"/>
    <xf numFmtId="0" fontId="0" fillId="6" borderId="6" xfId="0" applyFill="1" applyBorder="1"/>
    <xf numFmtId="0" fontId="2" fillId="6" borderId="3" xfId="0" applyFont="1" applyFill="1" applyBorder="1" applyAlignment="1">
      <alignment horizontal="left"/>
    </xf>
    <xf numFmtId="0" fontId="0" fillId="2" borderId="0" xfId="0" applyFill="1" applyAlignment="1">
      <alignment wrapText="1"/>
    </xf>
    <xf numFmtId="0" fontId="0" fillId="2" borderId="0" xfId="0" applyFill="1" applyBorder="1" applyAlignment="1">
      <alignment wrapText="1"/>
    </xf>
    <xf numFmtId="10" fontId="0" fillId="6" borderId="0" xfId="0" applyNumberFormat="1" applyFill="1" applyBorder="1" applyAlignment="1">
      <alignment horizontal="center"/>
    </xf>
    <xf numFmtId="187" fontId="5" fillId="6" borderId="8" xfId="1" applyNumberFormat="1" applyFont="1" applyFill="1" applyBorder="1"/>
    <xf numFmtId="187" fontId="5" fillId="6" borderId="0" xfId="1" applyNumberFormat="1" applyFont="1" applyFill="1" applyBorder="1"/>
    <xf numFmtId="187" fontId="5" fillId="6" borderId="5" xfId="1" applyNumberFormat="1" applyFont="1" applyFill="1" applyBorder="1"/>
    <xf numFmtId="0" fontId="5" fillId="6" borderId="8" xfId="0" applyFont="1" applyFill="1" applyBorder="1" applyAlignment="1">
      <alignment horizontal="center"/>
    </xf>
    <xf numFmtId="10" fontId="0" fillId="6" borderId="5" xfId="0" applyNumberFormat="1" applyFill="1" applyBorder="1" applyAlignment="1">
      <alignment horizontal="center"/>
    </xf>
    <xf numFmtId="0" fontId="19" fillId="5" borderId="0" xfId="0" applyFont="1" applyFill="1" applyBorder="1" applyAlignment="1">
      <alignment horizontal="left" vertical="center"/>
    </xf>
    <xf numFmtId="0" fontId="5" fillId="6" borderId="0" xfId="0" applyFont="1" applyFill="1" applyBorder="1" applyAlignment="1">
      <alignment horizontal="left" wrapText="1"/>
    </xf>
    <xf numFmtId="0" fontId="1" fillId="2" borderId="0" xfId="0" applyNumberFormat="1" applyFont="1" applyFill="1" applyBorder="1" applyAlignment="1">
      <alignment vertical="center" wrapText="1"/>
    </xf>
    <xf numFmtId="0" fontId="0" fillId="0" borderId="0" xfId="0" applyAlignment="1">
      <alignment vertical="center" wrapText="1"/>
    </xf>
    <xf numFmtId="0" fontId="20" fillId="0" borderId="0" xfId="0" applyFont="1" applyBorder="1" applyAlignment="1"/>
    <xf numFmtId="0" fontId="5" fillId="2" borderId="0" xfId="0" applyNumberFormat="1" applyFont="1" applyFill="1" applyAlignment="1">
      <alignment wrapText="1"/>
    </xf>
    <xf numFmtId="0" fontId="0" fillId="2" borderId="0" xfId="0" applyFill="1" applyAlignment="1">
      <alignment wrapText="1"/>
    </xf>
    <xf numFmtId="0" fontId="5" fillId="2" borderId="0" xfId="0" applyFont="1" applyFill="1" applyBorder="1" applyAlignment="1">
      <alignment horizontal="left" wrapText="1"/>
    </xf>
    <xf numFmtId="0" fontId="0" fillId="0" borderId="0" xfId="0" applyAlignment="1">
      <alignment wrapText="1"/>
    </xf>
    <xf numFmtId="0" fontId="5" fillId="2" borderId="0" xfId="0" applyNumberFormat="1" applyFont="1" applyFill="1" applyBorder="1" applyAlignment="1">
      <alignment horizontal="left" wrapText="1"/>
    </xf>
    <xf numFmtId="0" fontId="0" fillId="0" borderId="0" xfId="0" applyAlignment="1">
      <alignment horizontal="left" wrapText="1"/>
    </xf>
    <xf numFmtId="0" fontId="5" fillId="2" borderId="0" xfId="0" applyNumberFormat="1" applyFont="1" applyFill="1" applyBorder="1" applyAlignment="1">
      <alignment vertical="center" wrapText="1"/>
    </xf>
    <xf numFmtId="0" fontId="0" fillId="2" borderId="0" xfId="0" applyFill="1" applyAlignment="1">
      <alignment vertical="center" wrapText="1"/>
    </xf>
    <xf numFmtId="0" fontId="1" fillId="2" borderId="0" xfId="0" applyFont="1" applyFill="1" applyBorder="1" applyAlignment="1">
      <alignment vertical="center" wrapText="1"/>
    </xf>
    <xf numFmtId="0" fontId="5" fillId="2" borderId="0" xfId="0" applyFont="1" applyFill="1" applyAlignment="1">
      <alignment vertical="center" wrapText="1"/>
    </xf>
    <xf numFmtId="0" fontId="1" fillId="2" borderId="0" xfId="0" applyNumberFormat="1" applyFont="1" applyFill="1" applyBorder="1" applyAlignment="1">
      <alignment wrapText="1"/>
    </xf>
    <xf numFmtId="0" fontId="5" fillId="2" borderId="0" xfId="0" applyNumberFormat="1" applyFont="1" applyFill="1" applyBorder="1" applyAlignment="1">
      <alignment wrapText="1"/>
    </xf>
    <xf numFmtId="0" fontId="8" fillId="2" borderId="0" xfId="0" applyFont="1" applyFill="1" applyBorder="1" applyAlignment="1">
      <alignment horizontal="left" wrapText="1"/>
    </xf>
    <xf numFmtId="0" fontId="1" fillId="2" borderId="0" xfId="0" applyNumberFormat="1" applyFont="1" applyFill="1" applyAlignment="1">
      <alignment vertical="center" wrapText="1"/>
    </xf>
    <xf numFmtId="0" fontId="5" fillId="2" borderId="0" xfId="0" applyNumberFormat="1" applyFont="1" applyFill="1" applyAlignment="1">
      <alignment horizontal="left" vertical="top" wrapText="1"/>
    </xf>
    <xf numFmtId="0" fontId="0" fillId="2" borderId="0" xfId="0" applyFill="1" applyBorder="1" applyAlignment="1">
      <alignment horizontal="left" wrapText="1"/>
    </xf>
    <xf numFmtId="0" fontId="20" fillId="0" borderId="0" xfId="0" applyFont="1" applyAlignment="1"/>
    <xf numFmtId="0" fontId="1" fillId="2" borderId="0" xfId="0" applyNumberFormat="1" applyFont="1" applyFill="1" applyBorder="1" applyAlignment="1">
      <alignment horizontal="left" vertical="center" wrapText="1"/>
    </xf>
    <xf numFmtId="0" fontId="5" fillId="2" borderId="0" xfId="0" applyNumberFormat="1" applyFont="1" applyFill="1" applyBorder="1" applyAlignment="1">
      <alignment horizontal="left" vertical="center" wrapText="1"/>
    </xf>
    <xf numFmtId="0" fontId="0" fillId="2" borderId="0" xfId="0" applyFill="1" applyBorder="1" applyAlignment="1">
      <alignment horizontal="left" vertical="center" wrapText="1"/>
    </xf>
    <xf numFmtId="0" fontId="5" fillId="2" borderId="0" xfId="0" applyFont="1" applyFill="1" applyBorder="1" applyAlignment="1">
      <alignment wrapText="1"/>
    </xf>
    <xf numFmtId="0" fontId="0" fillId="2" borderId="0" xfId="0" applyFill="1" applyBorder="1" applyAlignment="1">
      <alignment wrapText="1"/>
    </xf>
    <xf numFmtId="5" fontId="2" fillId="3" borderId="19" xfId="2" applyNumberFormat="1" applyFont="1" applyFill="1" applyBorder="1" applyAlignment="1">
      <alignment horizontal="center"/>
    </xf>
    <xf numFmtId="5" fontId="5" fillId="3" borderId="20" xfId="2" applyNumberFormat="1" applyFont="1" applyFill="1" applyBorder="1" applyAlignment="1">
      <alignment horizontal="center"/>
    </xf>
    <xf numFmtId="5" fontId="5" fillId="3" borderId="21" xfId="2" applyNumberFormat="1" applyFont="1" applyFill="1" applyBorder="1" applyAlignment="1">
      <alignment horizontal="center"/>
    </xf>
    <xf numFmtId="0" fontId="5" fillId="2" borderId="0" xfId="0" applyFont="1" applyFill="1" applyAlignment="1">
      <alignment horizontal="left" vertical="top" wrapText="1"/>
    </xf>
    <xf numFmtId="0" fontId="0" fillId="2" borderId="0" xfId="0" applyFill="1" applyAlignment="1">
      <alignment horizontal="left" vertical="top" wrapText="1"/>
    </xf>
    <xf numFmtId="0" fontId="19" fillId="5" borderId="0" xfId="0" applyFont="1" applyFill="1" applyBorder="1" applyAlignment="1">
      <alignment horizontal="left" vertical="center" wrapText="1"/>
    </xf>
    <xf numFmtId="0" fontId="20" fillId="0" borderId="0" xfId="0" applyFont="1" applyAlignment="1">
      <alignment wrapText="1"/>
    </xf>
    <xf numFmtId="0" fontId="0" fillId="6" borderId="0" xfId="0" applyFill="1" applyAlignment="1">
      <alignment vertical="center" wrapText="1"/>
    </xf>
    <xf numFmtId="0" fontId="1" fillId="6" borderId="0" xfId="0" applyFont="1" applyFill="1" applyAlignment="1">
      <alignment vertical="center" wrapText="1"/>
    </xf>
    <xf numFmtId="0" fontId="1" fillId="6" borderId="0" xfId="0" applyFont="1" applyFill="1" applyBorder="1" applyAlignment="1">
      <alignment vertical="center" wrapText="1"/>
    </xf>
    <xf numFmtId="0" fontId="0" fillId="6" borderId="0" xfId="0" applyFill="1" applyBorder="1" applyAlignment="1">
      <alignment vertical="center" wrapText="1"/>
    </xf>
    <xf numFmtId="0" fontId="6" fillId="5" borderId="0" xfId="0" applyFont="1" applyFill="1" applyBorder="1" applyAlignment="1">
      <alignment horizontal="left" vertical="center" wrapText="1"/>
    </xf>
    <xf numFmtId="0" fontId="17" fillId="0" borderId="0" xfId="0" applyFont="1" applyAlignment="1">
      <alignment wrapText="1"/>
    </xf>
    <xf numFmtId="0" fontId="1" fillId="2" borderId="0" xfId="0" applyFont="1" applyFill="1" applyBorder="1" applyAlignment="1">
      <alignment wrapText="1"/>
    </xf>
    <xf numFmtId="0" fontId="15" fillId="2" borderId="0" xfId="0" applyFont="1" applyFill="1" applyAlignment="1">
      <alignment wrapText="1"/>
    </xf>
    <xf numFmtId="0" fontId="15" fillId="0" borderId="0" xfId="0" applyFont="1" applyAlignment="1">
      <alignment wrapText="1"/>
    </xf>
  </cellXfs>
  <cellStyles count="7">
    <cellStyle name="Comma" xfId="1" builtinId="3"/>
    <cellStyle name="Comma 2" xfId="5"/>
    <cellStyle name="Currency" xfId="2" builtinId="4"/>
    <cellStyle name="Currency 2" xfId="4"/>
    <cellStyle name="Normal" xfId="0" builtinId="0"/>
    <cellStyle name="Percent" xfId="3" builtinId="5"/>
    <cellStyle name="Percent 2" xfId="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31</xdr:row>
      <xdr:rowOff>0</xdr:rowOff>
    </xdr:from>
    <xdr:to>
      <xdr:col>8</xdr:col>
      <xdr:colOff>0</xdr:colOff>
      <xdr:row>31</xdr:row>
      <xdr:rowOff>0</xdr:rowOff>
    </xdr:to>
    <xdr:sp macro="" textlink="">
      <xdr:nvSpPr>
        <xdr:cNvPr id="2" name="AutoShape 1"/>
        <xdr:cNvSpPr>
          <a:spLocks noChangeArrowheads="1"/>
        </xdr:cNvSpPr>
      </xdr:nvSpPr>
      <xdr:spPr bwMode="auto">
        <a:xfrm>
          <a:off x="4743450" y="1657350"/>
          <a:ext cx="0" cy="0"/>
        </a:xfrm>
        <a:custGeom>
          <a:avLst/>
          <a:gdLst>
            <a:gd name="T0" fmla="*/ 0 w 21600"/>
            <a:gd name="T1" fmla="*/ 0 h 21600"/>
            <a:gd name="T2" fmla="*/ 0 w 21600"/>
            <a:gd name="T3" fmla="*/ 0 h 21600"/>
            <a:gd name="T4" fmla="*/ 0 w 21600"/>
            <a:gd name="T5" fmla="*/ 0 h 21600"/>
            <a:gd name="T6" fmla="*/ 0 w 21600"/>
            <a:gd name="T7" fmla="*/ 0 h 21600"/>
            <a:gd name="T8" fmla="*/ 17694720 60000 65536"/>
            <a:gd name="T9" fmla="*/ 11796480 60000 65536"/>
            <a:gd name="T10" fmla="*/ 589824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19784" y="0"/>
              </a:moveTo>
              <a:lnTo>
                <a:pt x="19784" y="4320"/>
              </a:lnTo>
              <a:lnTo>
                <a:pt x="3375" y="4320"/>
              </a:lnTo>
              <a:lnTo>
                <a:pt x="3375" y="17280"/>
              </a:lnTo>
              <a:lnTo>
                <a:pt x="19784" y="17280"/>
              </a:lnTo>
              <a:lnTo>
                <a:pt x="19784" y="21600"/>
              </a:lnTo>
              <a:lnTo>
                <a:pt x="21600" y="10800"/>
              </a:lnTo>
              <a:lnTo>
                <a:pt x="19784" y="0"/>
              </a:lnTo>
              <a:close/>
            </a:path>
            <a:path w="21600" h="21600">
              <a:moveTo>
                <a:pt x="1350" y="4320"/>
              </a:moveTo>
              <a:lnTo>
                <a:pt x="1350" y="17280"/>
              </a:lnTo>
              <a:lnTo>
                <a:pt x="2700" y="17280"/>
              </a:lnTo>
              <a:lnTo>
                <a:pt x="2700" y="4320"/>
              </a:lnTo>
              <a:lnTo>
                <a:pt x="1350" y="4320"/>
              </a:lnTo>
              <a:close/>
            </a:path>
            <a:path w="21600" h="21600">
              <a:moveTo>
                <a:pt x="0" y="4320"/>
              </a:moveTo>
              <a:lnTo>
                <a:pt x="0" y="17280"/>
              </a:lnTo>
              <a:lnTo>
                <a:pt x="675" y="17280"/>
              </a:lnTo>
              <a:lnTo>
                <a:pt x="675" y="4320"/>
              </a:lnTo>
              <a:lnTo>
                <a:pt x="0" y="4320"/>
              </a:lnTo>
              <a:close/>
            </a:path>
          </a:pathLst>
        </a:cu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0</xdr:colOff>
      <xdr:row>31</xdr:row>
      <xdr:rowOff>0</xdr:rowOff>
    </xdr:from>
    <xdr:to>
      <xdr:col>8</xdr:col>
      <xdr:colOff>0</xdr:colOff>
      <xdr:row>31</xdr:row>
      <xdr:rowOff>0</xdr:rowOff>
    </xdr:to>
    <xdr:sp macro="" textlink="">
      <xdr:nvSpPr>
        <xdr:cNvPr id="3" name="AutoShape 2"/>
        <xdr:cNvSpPr>
          <a:spLocks noChangeArrowheads="1"/>
        </xdr:cNvSpPr>
      </xdr:nvSpPr>
      <xdr:spPr bwMode="auto">
        <a:xfrm rot="10800000">
          <a:off x="4743450" y="1657350"/>
          <a:ext cx="0" cy="0"/>
        </a:xfrm>
        <a:custGeom>
          <a:avLst/>
          <a:gdLst>
            <a:gd name="T0" fmla="*/ 0 w 21600"/>
            <a:gd name="T1" fmla="*/ 0 h 21600"/>
            <a:gd name="T2" fmla="*/ 0 w 21600"/>
            <a:gd name="T3" fmla="*/ 0 h 21600"/>
            <a:gd name="T4" fmla="*/ 0 w 21600"/>
            <a:gd name="T5" fmla="*/ 0 h 21600"/>
            <a:gd name="T6" fmla="*/ 0 w 21600"/>
            <a:gd name="T7" fmla="*/ 0 h 21600"/>
            <a:gd name="T8" fmla="*/ 17694720 60000 65536"/>
            <a:gd name="T9" fmla="*/ 11796480 60000 65536"/>
            <a:gd name="T10" fmla="*/ 589824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19784" y="0"/>
              </a:moveTo>
              <a:lnTo>
                <a:pt x="19784" y="4320"/>
              </a:lnTo>
              <a:lnTo>
                <a:pt x="3375" y="4320"/>
              </a:lnTo>
              <a:lnTo>
                <a:pt x="3375" y="17280"/>
              </a:lnTo>
              <a:lnTo>
                <a:pt x="19784" y="17280"/>
              </a:lnTo>
              <a:lnTo>
                <a:pt x="19784" y="21600"/>
              </a:lnTo>
              <a:lnTo>
                <a:pt x="21600" y="10800"/>
              </a:lnTo>
              <a:lnTo>
                <a:pt x="19784" y="0"/>
              </a:lnTo>
              <a:close/>
            </a:path>
            <a:path w="21600" h="21600">
              <a:moveTo>
                <a:pt x="1350" y="4320"/>
              </a:moveTo>
              <a:lnTo>
                <a:pt x="1350" y="17280"/>
              </a:lnTo>
              <a:lnTo>
                <a:pt x="2700" y="17280"/>
              </a:lnTo>
              <a:lnTo>
                <a:pt x="2700" y="4320"/>
              </a:lnTo>
              <a:lnTo>
                <a:pt x="1350" y="4320"/>
              </a:lnTo>
              <a:close/>
            </a:path>
            <a:path w="21600" h="21600">
              <a:moveTo>
                <a:pt x="0" y="4320"/>
              </a:moveTo>
              <a:lnTo>
                <a:pt x="0" y="17280"/>
              </a:lnTo>
              <a:lnTo>
                <a:pt x="675" y="17280"/>
              </a:lnTo>
              <a:lnTo>
                <a:pt x="675" y="4320"/>
              </a:lnTo>
              <a:lnTo>
                <a:pt x="0" y="4320"/>
              </a:lnTo>
              <a:close/>
            </a:path>
          </a:pathLst>
        </a:cu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0</xdr:colOff>
      <xdr:row>32</xdr:row>
      <xdr:rowOff>0</xdr:rowOff>
    </xdr:from>
    <xdr:to>
      <xdr:col>8</xdr:col>
      <xdr:colOff>0</xdr:colOff>
      <xdr:row>32</xdr:row>
      <xdr:rowOff>0</xdr:rowOff>
    </xdr:to>
    <xdr:sp macro="" textlink="">
      <xdr:nvSpPr>
        <xdr:cNvPr id="4" name="AutoShape 1"/>
        <xdr:cNvSpPr>
          <a:spLocks noChangeArrowheads="1"/>
        </xdr:cNvSpPr>
      </xdr:nvSpPr>
      <xdr:spPr bwMode="auto">
        <a:xfrm>
          <a:off x="4743450" y="1819275"/>
          <a:ext cx="0" cy="0"/>
        </a:xfrm>
        <a:custGeom>
          <a:avLst/>
          <a:gdLst>
            <a:gd name="T0" fmla="*/ 0 w 21600"/>
            <a:gd name="T1" fmla="*/ 0 h 21600"/>
            <a:gd name="T2" fmla="*/ 0 w 21600"/>
            <a:gd name="T3" fmla="*/ 0 h 21600"/>
            <a:gd name="T4" fmla="*/ 0 w 21600"/>
            <a:gd name="T5" fmla="*/ 0 h 21600"/>
            <a:gd name="T6" fmla="*/ 0 w 21600"/>
            <a:gd name="T7" fmla="*/ 0 h 21600"/>
            <a:gd name="T8" fmla="*/ 17694720 60000 65536"/>
            <a:gd name="T9" fmla="*/ 11796480 60000 65536"/>
            <a:gd name="T10" fmla="*/ 589824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19784" y="0"/>
              </a:moveTo>
              <a:lnTo>
                <a:pt x="19784" y="4320"/>
              </a:lnTo>
              <a:lnTo>
                <a:pt x="3375" y="4320"/>
              </a:lnTo>
              <a:lnTo>
                <a:pt x="3375" y="17280"/>
              </a:lnTo>
              <a:lnTo>
                <a:pt x="19784" y="17280"/>
              </a:lnTo>
              <a:lnTo>
                <a:pt x="19784" y="21600"/>
              </a:lnTo>
              <a:lnTo>
                <a:pt x="21600" y="10800"/>
              </a:lnTo>
              <a:lnTo>
                <a:pt x="19784" y="0"/>
              </a:lnTo>
              <a:close/>
            </a:path>
            <a:path w="21600" h="21600">
              <a:moveTo>
                <a:pt x="1350" y="4320"/>
              </a:moveTo>
              <a:lnTo>
                <a:pt x="1350" y="17280"/>
              </a:lnTo>
              <a:lnTo>
                <a:pt x="2700" y="17280"/>
              </a:lnTo>
              <a:lnTo>
                <a:pt x="2700" y="4320"/>
              </a:lnTo>
              <a:lnTo>
                <a:pt x="1350" y="4320"/>
              </a:lnTo>
              <a:close/>
            </a:path>
            <a:path w="21600" h="21600">
              <a:moveTo>
                <a:pt x="0" y="4320"/>
              </a:moveTo>
              <a:lnTo>
                <a:pt x="0" y="17280"/>
              </a:lnTo>
              <a:lnTo>
                <a:pt x="675" y="17280"/>
              </a:lnTo>
              <a:lnTo>
                <a:pt x="675" y="4320"/>
              </a:lnTo>
              <a:lnTo>
                <a:pt x="0" y="4320"/>
              </a:lnTo>
              <a:close/>
            </a:path>
          </a:pathLst>
        </a:cu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0</xdr:colOff>
      <xdr:row>32</xdr:row>
      <xdr:rowOff>0</xdr:rowOff>
    </xdr:from>
    <xdr:to>
      <xdr:col>8</xdr:col>
      <xdr:colOff>0</xdr:colOff>
      <xdr:row>32</xdr:row>
      <xdr:rowOff>0</xdr:rowOff>
    </xdr:to>
    <xdr:sp macro="" textlink="">
      <xdr:nvSpPr>
        <xdr:cNvPr id="5" name="AutoShape 2"/>
        <xdr:cNvSpPr>
          <a:spLocks noChangeArrowheads="1"/>
        </xdr:cNvSpPr>
      </xdr:nvSpPr>
      <xdr:spPr bwMode="auto">
        <a:xfrm rot="10800000">
          <a:off x="4743450" y="1819275"/>
          <a:ext cx="0" cy="0"/>
        </a:xfrm>
        <a:custGeom>
          <a:avLst/>
          <a:gdLst>
            <a:gd name="T0" fmla="*/ 0 w 21600"/>
            <a:gd name="T1" fmla="*/ 0 h 21600"/>
            <a:gd name="T2" fmla="*/ 0 w 21600"/>
            <a:gd name="T3" fmla="*/ 0 h 21600"/>
            <a:gd name="T4" fmla="*/ 0 w 21600"/>
            <a:gd name="T5" fmla="*/ 0 h 21600"/>
            <a:gd name="T6" fmla="*/ 0 w 21600"/>
            <a:gd name="T7" fmla="*/ 0 h 21600"/>
            <a:gd name="T8" fmla="*/ 17694720 60000 65536"/>
            <a:gd name="T9" fmla="*/ 11796480 60000 65536"/>
            <a:gd name="T10" fmla="*/ 589824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19784" y="0"/>
              </a:moveTo>
              <a:lnTo>
                <a:pt x="19784" y="4320"/>
              </a:lnTo>
              <a:lnTo>
                <a:pt x="3375" y="4320"/>
              </a:lnTo>
              <a:lnTo>
                <a:pt x="3375" y="17280"/>
              </a:lnTo>
              <a:lnTo>
                <a:pt x="19784" y="17280"/>
              </a:lnTo>
              <a:lnTo>
                <a:pt x="19784" y="21600"/>
              </a:lnTo>
              <a:lnTo>
                <a:pt x="21600" y="10800"/>
              </a:lnTo>
              <a:lnTo>
                <a:pt x="19784" y="0"/>
              </a:lnTo>
              <a:close/>
            </a:path>
            <a:path w="21600" h="21600">
              <a:moveTo>
                <a:pt x="1350" y="4320"/>
              </a:moveTo>
              <a:lnTo>
                <a:pt x="1350" y="17280"/>
              </a:lnTo>
              <a:lnTo>
                <a:pt x="2700" y="17280"/>
              </a:lnTo>
              <a:lnTo>
                <a:pt x="2700" y="4320"/>
              </a:lnTo>
              <a:lnTo>
                <a:pt x="1350" y="4320"/>
              </a:lnTo>
              <a:close/>
            </a:path>
            <a:path w="21600" h="21600">
              <a:moveTo>
                <a:pt x="0" y="4320"/>
              </a:moveTo>
              <a:lnTo>
                <a:pt x="0" y="17280"/>
              </a:lnTo>
              <a:lnTo>
                <a:pt x="675" y="17280"/>
              </a:lnTo>
              <a:lnTo>
                <a:pt x="675" y="4320"/>
              </a:lnTo>
              <a:lnTo>
                <a:pt x="0" y="4320"/>
              </a:lnTo>
              <a:close/>
            </a:path>
          </a:pathLst>
        </a:cu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tabSelected="1" workbookViewId="0"/>
  </sheetViews>
  <sheetFormatPr defaultRowHeight="12.75" x14ac:dyDescent="0.2"/>
  <cols>
    <col min="1" max="1" width="2.83203125" customWidth="1"/>
    <col min="2" max="2" width="70.83203125" customWidth="1"/>
    <col min="3" max="3" width="2.83203125" customWidth="1"/>
    <col min="4" max="4" width="16.83203125" customWidth="1"/>
    <col min="5" max="5" width="2.83203125" customWidth="1"/>
  </cols>
  <sheetData>
    <row r="1" spans="1:5" x14ac:dyDescent="0.2">
      <c r="A1" s="59"/>
      <c r="B1" s="60"/>
      <c r="C1" s="60"/>
      <c r="D1" s="60"/>
      <c r="E1" s="62"/>
    </row>
    <row r="2" spans="1:5" ht="18.75" x14ac:dyDescent="0.2">
      <c r="A2" s="1"/>
      <c r="B2" s="342" t="s">
        <v>557</v>
      </c>
      <c r="C2" s="342"/>
      <c r="D2" s="342"/>
      <c r="E2" s="2"/>
    </row>
    <row r="3" spans="1:5" x14ac:dyDescent="0.2">
      <c r="A3" s="30"/>
      <c r="B3" s="8"/>
      <c r="C3" s="31"/>
      <c r="D3" s="31"/>
      <c r="E3" s="33"/>
    </row>
    <row r="4" spans="1:5" x14ac:dyDescent="0.2">
      <c r="A4" s="30"/>
      <c r="B4" s="344" t="s">
        <v>547</v>
      </c>
      <c r="C4" s="345"/>
      <c r="D4" s="345"/>
      <c r="E4" s="33"/>
    </row>
    <row r="5" spans="1:5" x14ac:dyDescent="0.2">
      <c r="A5" s="30"/>
      <c r="B5" s="345"/>
      <c r="C5" s="345"/>
      <c r="D5" s="345"/>
      <c r="E5" s="33"/>
    </row>
    <row r="6" spans="1:5" x14ac:dyDescent="0.2">
      <c r="A6" s="30"/>
      <c r="B6" s="345"/>
      <c r="C6" s="345"/>
      <c r="D6" s="345"/>
      <c r="E6" s="33"/>
    </row>
    <row r="7" spans="1:5" x14ac:dyDescent="0.2">
      <c r="A7" s="30"/>
      <c r="B7" s="345"/>
      <c r="C7" s="345"/>
      <c r="D7" s="345"/>
      <c r="E7" s="33"/>
    </row>
    <row r="8" spans="1:5" x14ac:dyDescent="0.2">
      <c r="A8" s="30"/>
      <c r="B8" s="345"/>
      <c r="C8" s="345"/>
      <c r="D8" s="345"/>
      <c r="E8" s="33"/>
    </row>
    <row r="9" spans="1:5" ht="13.5" thickBot="1" x14ac:dyDescent="0.25">
      <c r="A9" s="30"/>
      <c r="B9" s="12"/>
      <c r="C9" s="12"/>
      <c r="D9" s="12"/>
      <c r="E9" s="33"/>
    </row>
    <row r="10" spans="1:5" x14ac:dyDescent="0.2">
      <c r="A10" s="30"/>
      <c r="B10" s="198" t="s">
        <v>471</v>
      </c>
      <c r="C10" s="199"/>
      <c r="D10" s="207" t="s">
        <v>476</v>
      </c>
      <c r="E10" s="33"/>
    </row>
    <row r="11" spans="1:5" x14ac:dyDescent="0.2">
      <c r="A11" s="30"/>
      <c r="B11" s="201" t="s">
        <v>472</v>
      </c>
      <c r="C11" s="202"/>
      <c r="D11" s="208" t="s">
        <v>475</v>
      </c>
      <c r="E11" s="33"/>
    </row>
    <row r="12" spans="1:5" x14ac:dyDescent="0.2">
      <c r="A12" s="30"/>
      <c r="B12" s="201" t="s">
        <v>473</v>
      </c>
      <c r="C12" s="202"/>
      <c r="D12" s="208" t="s">
        <v>477</v>
      </c>
      <c r="E12" s="33"/>
    </row>
    <row r="13" spans="1:5" x14ac:dyDescent="0.2">
      <c r="A13" s="30"/>
      <c r="B13" s="201" t="s">
        <v>474</v>
      </c>
      <c r="C13" s="202"/>
      <c r="D13" s="208" t="s">
        <v>478</v>
      </c>
      <c r="E13" s="33"/>
    </row>
    <row r="14" spans="1:5" x14ac:dyDescent="0.2">
      <c r="A14" s="30"/>
      <c r="B14" s="201" t="s">
        <v>466</v>
      </c>
      <c r="C14" s="202"/>
      <c r="D14" s="206">
        <v>8.8499999999999995E-2</v>
      </c>
      <c r="E14" s="33"/>
    </row>
    <row r="15" spans="1:5" ht="13.5" thickBot="1" x14ac:dyDescent="0.25">
      <c r="A15" s="30"/>
      <c r="B15" s="204" t="s">
        <v>467</v>
      </c>
      <c r="C15" s="205"/>
      <c r="D15" s="210">
        <v>9.1999999999999998E-2</v>
      </c>
      <c r="E15" s="33"/>
    </row>
    <row r="16" spans="1:5" x14ac:dyDescent="0.2">
      <c r="A16" s="30"/>
      <c r="B16" s="201"/>
      <c r="C16" s="202"/>
      <c r="D16" s="206"/>
      <c r="E16" s="33"/>
    </row>
    <row r="17" spans="1:5" x14ac:dyDescent="0.2">
      <c r="A17" s="30"/>
      <c r="B17" s="343" t="s">
        <v>479</v>
      </c>
      <c r="C17" s="343"/>
      <c r="D17" s="343"/>
      <c r="E17" s="33"/>
    </row>
    <row r="18" spans="1:5" x14ac:dyDescent="0.2">
      <c r="A18" s="30"/>
      <c r="B18" s="343"/>
      <c r="C18" s="343"/>
      <c r="D18" s="343"/>
      <c r="E18" s="33"/>
    </row>
    <row r="19" spans="1:5" x14ac:dyDescent="0.2">
      <c r="A19" s="30"/>
      <c r="B19" s="12"/>
      <c r="C19" s="12"/>
      <c r="D19" s="209"/>
      <c r="E19" s="33"/>
    </row>
    <row r="20" spans="1:5" x14ac:dyDescent="0.2">
      <c r="A20" s="30"/>
      <c r="B20" s="13" t="s">
        <v>247</v>
      </c>
      <c r="C20" s="31"/>
      <c r="D20" s="14" t="s">
        <v>246</v>
      </c>
      <c r="E20" s="33"/>
    </row>
    <row r="21" spans="1:5" x14ac:dyDescent="0.2">
      <c r="A21" s="30"/>
      <c r="B21" s="9" t="s">
        <v>465</v>
      </c>
      <c r="C21" s="31"/>
      <c r="D21" s="85">
        <v>12500000</v>
      </c>
      <c r="E21" s="33"/>
    </row>
    <row r="22" spans="1:5" x14ac:dyDescent="0.2">
      <c r="A22" s="30"/>
      <c r="B22" s="31" t="s">
        <v>154</v>
      </c>
      <c r="C22" s="31"/>
      <c r="D22" s="17">
        <v>111.4</v>
      </c>
      <c r="E22" s="33"/>
    </row>
    <row r="23" spans="1:5" x14ac:dyDescent="0.2">
      <c r="A23" s="30"/>
      <c r="B23" s="31" t="s">
        <v>155</v>
      </c>
      <c r="C23" s="31"/>
      <c r="D23" s="17">
        <v>111</v>
      </c>
      <c r="E23" s="33"/>
    </row>
    <row r="24" spans="1:5" x14ac:dyDescent="0.2">
      <c r="A24" s="30"/>
      <c r="B24" s="31" t="s">
        <v>156</v>
      </c>
      <c r="C24" s="31"/>
      <c r="D24" s="17">
        <v>110.4</v>
      </c>
      <c r="E24" s="33"/>
    </row>
    <row r="25" spans="1:5" x14ac:dyDescent="0.2">
      <c r="A25" s="30"/>
      <c r="B25" s="31" t="s">
        <v>157</v>
      </c>
      <c r="C25" s="31"/>
      <c r="D25" s="17">
        <v>109.2</v>
      </c>
      <c r="E25" s="33"/>
    </row>
    <row r="26" spans="1:5" x14ac:dyDescent="0.2">
      <c r="A26" s="30"/>
      <c r="B26" s="31" t="s">
        <v>466</v>
      </c>
      <c r="C26" s="31"/>
      <c r="D26" s="16">
        <v>8.8499999999999995E-2</v>
      </c>
      <c r="E26" s="33"/>
    </row>
    <row r="27" spans="1:5" x14ac:dyDescent="0.2">
      <c r="A27" s="30"/>
      <c r="B27" s="31" t="s">
        <v>467</v>
      </c>
      <c r="C27" s="31"/>
      <c r="D27" s="16">
        <v>9.1999999999999998E-2</v>
      </c>
      <c r="E27" s="33"/>
    </row>
    <row r="28" spans="1:5" x14ac:dyDescent="0.2">
      <c r="A28" s="30"/>
      <c r="B28" s="31" t="s">
        <v>468</v>
      </c>
      <c r="C28" s="31"/>
      <c r="D28" s="16">
        <v>4.4999999999999998E-2</v>
      </c>
      <c r="E28" s="33"/>
    </row>
    <row r="29" spans="1:5" x14ac:dyDescent="0.2">
      <c r="A29" s="30"/>
      <c r="B29" s="31"/>
      <c r="C29" s="31"/>
      <c r="D29" s="40"/>
      <c r="E29" s="33"/>
    </row>
    <row r="30" spans="1:5" x14ac:dyDescent="0.2">
      <c r="A30" s="30"/>
      <c r="B30" s="44" t="s">
        <v>469</v>
      </c>
      <c r="C30" s="31"/>
      <c r="D30" s="40"/>
      <c r="E30" s="33"/>
    </row>
    <row r="31" spans="1:5" x14ac:dyDescent="0.2">
      <c r="A31" s="30"/>
      <c r="B31" s="31"/>
      <c r="C31" s="31"/>
      <c r="D31" s="31"/>
      <c r="E31" s="33"/>
    </row>
    <row r="32" spans="1:5" x14ac:dyDescent="0.2">
      <c r="A32" s="30"/>
      <c r="B32" s="44" t="s">
        <v>30</v>
      </c>
      <c r="C32" s="31"/>
      <c r="D32" s="31"/>
      <c r="E32" s="33"/>
    </row>
    <row r="33" spans="1:5" x14ac:dyDescent="0.2">
      <c r="A33" s="30"/>
      <c r="B33" s="31"/>
      <c r="C33" s="31"/>
      <c r="D33" s="31"/>
      <c r="E33" s="33"/>
    </row>
    <row r="34" spans="1:5" x14ac:dyDescent="0.2">
      <c r="A34" s="30"/>
      <c r="B34" s="31" t="s">
        <v>31</v>
      </c>
      <c r="C34" s="31"/>
      <c r="D34" s="23">
        <f>D21</f>
        <v>12500000</v>
      </c>
      <c r="E34" s="33"/>
    </row>
    <row r="35" spans="1:5" x14ac:dyDescent="0.2">
      <c r="A35" s="30"/>
      <c r="B35" s="31" t="s">
        <v>32</v>
      </c>
      <c r="C35" s="31"/>
      <c r="D35" s="20">
        <f>-D34*D28</f>
        <v>-562500</v>
      </c>
      <c r="E35" s="33"/>
    </row>
    <row r="36" spans="1:5" x14ac:dyDescent="0.2">
      <c r="A36" s="30"/>
      <c r="B36" s="31" t="s">
        <v>33</v>
      </c>
      <c r="C36" s="31"/>
      <c r="D36" s="23">
        <f>D34+D35</f>
        <v>11937500</v>
      </c>
      <c r="E36" s="33"/>
    </row>
    <row r="37" spans="1:5" x14ac:dyDescent="0.2">
      <c r="A37" s="30"/>
      <c r="B37" s="31"/>
      <c r="C37" s="31"/>
      <c r="D37" s="31"/>
      <c r="E37" s="33"/>
    </row>
    <row r="38" spans="1:5" x14ac:dyDescent="0.2">
      <c r="A38" s="30"/>
      <c r="B38" s="31" t="s">
        <v>34</v>
      </c>
      <c r="C38" s="31"/>
      <c r="D38" s="22">
        <f>D22</f>
        <v>111.4</v>
      </c>
      <c r="E38" s="33"/>
    </row>
    <row r="39" spans="1:5" x14ac:dyDescent="0.2">
      <c r="A39" s="30"/>
      <c r="B39" s="31" t="s">
        <v>40</v>
      </c>
      <c r="C39" s="31"/>
      <c r="D39" s="183">
        <f>D36/D38</f>
        <v>107158.8868940754</v>
      </c>
      <c r="E39" s="33"/>
    </row>
    <row r="40" spans="1:5" x14ac:dyDescent="0.2">
      <c r="A40" s="30"/>
      <c r="B40" s="31"/>
      <c r="C40" s="31"/>
      <c r="D40" s="31"/>
      <c r="E40" s="33"/>
    </row>
    <row r="41" spans="1:5" x14ac:dyDescent="0.2">
      <c r="A41" s="30"/>
      <c r="B41" s="44" t="s">
        <v>41</v>
      </c>
      <c r="C41" s="31"/>
      <c r="D41" s="31"/>
      <c r="E41" s="33"/>
    </row>
    <row r="42" spans="1:5" x14ac:dyDescent="0.2">
      <c r="A42" s="30"/>
      <c r="B42" s="31"/>
      <c r="C42" s="31"/>
      <c r="D42" s="31"/>
      <c r="E42" s="33"/>
    </row>
    <row r="43" spans="1:5" x14ac:dyDescent="0.2">
      <c r="A43" s="30"/>
      <c r="B43" s="31" t="s">
        <v>42</v>
      </c>
      <c r="C43" s="31"/>
      <c r="D43" s="97">
        <f>D21</f>
        <v>12500000</v>
      </c>
      <c r="E43" s="33"/>
    </row>
    <row r="44" spans="1:5" x14ac:dyDescent="0.2">
      <c r="A44" s="30"/>
      <c r="B44" s="31" t="s">
        <v>43</v>
      </c>
      <c r="C44" s="31"/>
      <c r="D44" s="48">
        <f>D23</f>
        <v>111</v>
      </c>
      <c r="E44" s="33"/>
    </row>
    <row r="45" spans="1:5" x14ac:dyDescent="0.2">
      <c r="A45" s="30"/>
      <c r="B45" s="31" t="s">
        <v>44</v>
      </c>
      <c r="C45" s="31"/>
      <c r="D45" s="46">
        <f>D43/D44</f>
        <v>112612.61261261262</v>
      </c>
      <c r="E45" s="33"/>
    </row>
    <row r="46" spans="1:5" x14ac:dyDescent="0.2">
      <c r="A46" s="30"/>
      <c r="B46" s="31"/>
      <c r="C46" s="31"/>
      <c r="D46" s="31"/>
      <c r="E46" s="33"/>
    </row>
    <row r="47" spans="1:5" x14ac:dyDescent="0.2">
      <c r="A47" s="30"/>
      <c r="B47" s="31" t="s">
        <v>45</v>
      </c>
      <c r="C47" s="31"/>
      <c r="D47" s="21">
        <f>1/(1+(D27*30/360))</f>
        <v>0.99239166391002309</v>
      </c>
      <c r="E47" s="33"/>
    </row>
    <row r="48" spans="1:5" x14ac:dyDescent="0.2">
      <c r="A48" s="30"/>
      <c r="B48" s="31" t="s">
        <v>46</v>
      </c>
      <c r="C48" s="31"/>
      <c r="D48" s="183">
        <f>D45*D47</f>
        <v>111755.81800788549</v>
      </c>
      <c r="E48" s="33"/>
    </row>
    <row r="49" spans="1:5" x14ac:dyDescent="0.2">
      <c r="A49" s="30"/>
      <c r="B49" s="31"/>
      <c r="C49" s="31"/>
      <c r="D49" s="31"/>
      <c r="E49" s="33"/>
    </row>
    <row r="50" spans="1:5" x14ac:dyDescent="0.2">
      <c r="A50" s="30"/>
      <c r="B50" s="31" t="s">
        <v>470</v>
      </c>
      <c r="C50" s="31"/>
      <c r="D50" s="31"/>
      <c r="E50" s="33"/>
    </row>
    <row r="51" spans="1:5" ht="13.5" thickBot="1" x14ac:dyDescent="0.25">
      <c r="A51" s="55"/>
      <c r="B51" s="56"/>
      <c r="C51" s="56"/>
      <c r="D51" s="56"/>
      <c r="E51" s="58"/>
    </row>
  </sheetData>
  <mergeCells count="3">
    <mergeCell ref="B2:D2"/>
    <mergeCell ref="B17:D18"/>
    <mergeCell ref="B4:D8"/>
  </mergeCells>
  <phoneticPr fontId="0" type="noConversion"/>
  <printOptions horizontalCentered="1"/>
  <pageMargins left="0.75" right="0.75" top="1" bottom="1" header="0.5" footer="0.5"/>
  <pageSetup scale="9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workbookViewId="0"/>
  </sheetViews>
  <sheetFormatPr defaultRowHeight="12.75" x14ac:dyDescent="0.2"/>
  <cols>
    <col min="1" max="1" width="2.83203125" customWidth="1"/>
    <col min="2" max="2" width="56.83203125" customWidth="1"/>
    <col min="3" max="3" width="2.83203125" customWidth="1"/>
    <col min="4" max="4" width="22.83203125" customWidth="1"/>
    <col min="5" max="5" width="2.83203125" customWidth="1"/>
    <col min="6" max="6" width="20.83203125" style="3" customWidth="1"/>
    <col min="7" max="7" width="2.83203125" customWidth="1"/>
  </cols>
  <sheetData>
    <row r="1" spans="1:7" x14ac:dyDescent="0.2">
      <c r="A1" s="59"/>
      <c r="B1" s="60"/>
      <c r="C1" s="60"/>
      <c r="D1" s="60"/>
      <c r="E1" s="60"/>
      <c r="F1" s="61"/>
      <c r="G1" s="62"/>
    </row>
    <row r="2" spans="1:7" ht="18.75" x14ac:dyDescent="0.3">
      <c r="A2" s="1"/>
      <c r="B2" s="342" t="s">
        <v>575</v>
      </c>
      <c r="C2" s="342"/>
      <c r="D2" s="342"/>
      <c r="E2" s="346"/>
      <c r="F2" s="346"/>
      <c r="G2" s="2"/>
    </row>
    <row r="3" spans="1:7" x14ac:dyDescent="0.2">
      <c r="A3" s="30"/>
      <c r="B3" s="8"/>
      <c r="C3" s="31"/>
      <c r="D3" s="31"/>
      <c r="E3" s="31"/>
      <c r="F3" s="32"/>
      <c r="G3" s="33"/>
    </row>
    <row r="4" spans="1:7" x14ac:dyDescent="0.2">
      <c r="A4" s="30"/>
      <c r="B4" s="353" t="s">
        <v>0</v>
      </c>
      <c r="C4" s="354"/>
      <c r="D4" s="354"/>
      <c r="E4" s="354"/>
      <c r="F4" s="354"/>
      <c r="G4" s="33"/>
    </row>
    <row r="5" spans="1:7" x14ac:dyDescent="0.2">
      <c r="A5" s="30"/>
      <c r="B5" s="354"/>
      <c r="C5" s="354"/>
      <c r="D5" s="354"/>
      <c r="E5" s="354"/>
      <c r="F5" s="354"/>
      <c r="G5" s="33"/>
    </row>
    <row r="6" spans="1:7" x14ac:dyDescent="0.2">
      <c r="A6" s="30"/>
      <c r="B6" s="354"/>
      <c r="C6" s="354"/>
      <c r="D6" s="354"/>
      <c r="E6" s="354"/>
      <c r="F6" s="354"/>
      <c r="G6" s="33"/>
    </row>
    <row r="7" spans="1:7" x14ac:dyDescent="0.2">
      <c r="A7" s="30"/>
      <c r="B7" s="354"/>
      <c r="C7" s="354"/>
      <c r="D7" s="354"/>
      <c r="E7" s="354"/>
      <c r="F7" s="354"/>
      <c r="G7" s="33"/>
    </row>
    <row r="8" spans="1:7" x14ac:dyDescent="0.2">
      <c r="A8" s="30"/>
      <c r="B8" s="354"/>
      <c r="C8" s="354"/>
      <c r="D8" s="354"/>
      <c r="E8" s="354"/>
      <c r="F8" s="354"/>
      <c r="G8" s="33"/>
    </row>
    <row r="9" spans="1:7" x14ac:dyDescent="0.2">
      <c r="A9" s="30"/>
      <c r="B9" s="354"/>
      <c r="C9" s="354"/>
      <c r="D9" s="354"/>
      <c r="E9" s="354"/>
      <c r="F9" s="354"/>
      <c r="G9" s="33"/>
    </row>
    <row r="10" spans="1:7" ht="13.5" thickBot="1" x14ac:dyDescent="0.25">
      <c r="A10" s="30"/>
      <c r="B10" s="12"/>
      <c r="C10" s="12"/>
      <c r="D10" s="12"/>
      <c r="E10" s="12"/>
      <c r="F10" s="12"/>
      <c r="G10" s="33"/>
    </row>
    <row r="11" spans="1:7" x14ac:dyDescent="0.2">
      <c r="A11" s="30"/>
      <c r="B11" s="198" t="s">
        <v>461</v>
      </c>
      <c r="C11" s="12"/>
      <c r="D11" s="213">
        <v>1.4157999999999999</v>
      </c>
      <c r="E11" s="12"/>
      <c r="F11" s="12"/>
      <c r="G11" s="33"/>
    </row>
    <row r="12" spans="1:7" x14ac:dyDescent="0.2">
      <c r="A12" s="30"/>
      <c r="B12" s="201" t="s">
        <v>175</v>
      </c>
      <c r="C12" s="12"/>
      <c r="D12" s="214">
        <v>1.4172</v>
      </c>
      <c r="E12" s="12"/>
      <c r="F12" s="12"/>
      <c r="G12" s="33"/>
    </row>
    <row r="13" spans="1:7" x14ac:dyDescent="0.2">
      <c r="A13" s="30"/>
      <c r="B13" s="201" t="s">
        <v>483</v>
      </c>
      <c r="C13" s="12"/>
      <c r="D13" s="214">
        <v>1.4195</v>
      </c>
      <c r="E13" s="12"/>
      <c r="F13" s="12"/>
      <c r="G13" s="33"/>
    </row>
    <row r="14" spans="1:7" ht="13.5" thickBot="1" x14ac:dyDescent="0.25">
      <c r="A14" s="30"/>
      <c r="B14" s="204" t="s">
        <v>482</v>
      </c>
      <c r="C14" s="12"/>
      <c r="D14" s="215">
        <v>9.6000000000000002E-2</v>
      </c>
      <c r="E14" s="12"/>
      <c r="F14" s="12"/>
      <c r="G14" s="33"/>
    </row>
    <row r="15" spans="1:7" x14ac:dyDescent="0.2">
      <c r="A15" s="30"/>
      <c r="B15" s="198" t="s">
        <v>428</v>
      </c>
      <c r="C15" s="12"/>
      <c r="D15" s="200">
        <v>0.04</v>
      </c>
      <c r="E15" s="12"/>
      <c r="F15" s="12"/>
      <c r="G15" s="33"/>
    </row>
    <row r="16" spans="1:7" x14ac:dyDescent="0.2">
      <c r="A16" s="30"/>
      <c r="B16" s="201" t="s">
        <v>17</v>
      </c>
      <c r="C16" s="12"/>
      <c r="D16" s="203">
        <v>3.8850000000000003E-2</v>
      </c>
      <c r="E16" s="12"/>
      <c r="F16" s="12"/>
      <c r="G16" s="33"/>
    </row>
    <row r="17" spans="1:7" x14ac:dyDescent="0.2">
      <c r="A17" s="30"/>
      <c r="B17" s="201" t="s">
        <v>429</v>
      </c>
      <c r="C17" s="12"/>
      <c r="D17" s="203">
        <v>0.05</v>
      </c>
      <c r="E17" s="12"/>
      <c r="F17" s="12"/>
      <c r="G17" s="33"/>
    </row>
    <row r="18" spans="1:7" ht="13.5" thickBot="1" x14ac:dyDescent="0.25">
      <c r="A18" s="30"/>
      <c r="B18" s="204" t="s">
        <v>16</v>
      </c>
      <c r="C18" s="12"/>
      <c r="D18" s="215">
        <v>0.05</v>
      </c>
      <c r="E18" s="12"/>
      <c r="F18" s="12"/>
      <c r="G18" s="33"/>
    </row>
    <row r="19" spans="1:7" x14ac:dyDescent="0.2">
      <c r="A19" s="30"/>
      <c r="B19" s="31"/>
      <c r="C19" s="31"/>
      <c r="D19" s="31"/>
      <c r="E19" s="31"/>
      <c r="F19" s="32"/>
      <c r="G19" s="33"/>
    </row>
    <row r="20" spans="1:7" x14ac:dyDescent="0.2">
      <c r="A20" s="30"/>
      <c r="B20" s="13" t="s">
        <v>247</v>
      </c>
      <c r="C20" s="31"/>
      <c r="D20" s="14" t="s">
        <v>246</v>
      </c>
      <c r="E20" s="31"/>
      <c r="F20" s="34"/>
      <c r="G20" s="33"/>
    </row>
    <row r="21" spans="1:7" x14ac:dyDescent="0.2">
      <c r="A21" s="30"/>
      <c r="B21" s="9" t="s">
        <v>174</v>
      </c>
      <c r="C21" s="31"/>
      <c r="D21" s="74">
        <v>30000000</v>
      </c>
      <c r="E21" s="31"/>
      <c r="F21" s="36"/>
      <c r="G21" s="33"/>
    </row>
    <row r="22" spans="1:7" x14ac:dyDescent="0.2">
      <c r="A22" s="30"/>
      <c r="B22" s="9" t="s">
        <v>461</v>
      </c>
      <c r="C22" s="31"/>
      <c r="D22" s="77">
        <v>1.4157999999999999</v>
      </c>
      <c r="E22" s="31"/>
      <c r="F22" s="36"/>
      <c r="G22" s="33"/>
    </row>
    <row r="23" spans="1:7" x14ac:dyDescent="0.2">
      <c r="A23" s="30"/>
      <c r="B23" s="9" t="s">
        <v>175</v>
      </c>
      <c r="C23" s="31"/>
      <c r="D23" s="77">
        <v>1.4172</v>
      </c>
      <c r="E23" s="31"/>
      <c r="F23" s="37"/>
      <c r="G23" s="33"/>
    </row>
    <row r="24" spans="1:7" x14ac:dyDescent="0.2">
      <c r="A24" s="30"/>
      <c r="B24" s="31" t="s">
        <v>176</v>
      </c>
      <c r="C24" s="31"/>
      <c r="D24" s="77">
        <v>1.4195</v>
      </c>
      <c r="E24" s="31"/>
      <c r="F24" s="37"/>
      <c r="G24" s="33"/>
    </row>
    <row r="25" spans="1:7" x14ac:dyDescent="0.2">
      <c r="A25" s="30"/>
      <c r="B25" s="31" t="s">
        <v>177</v>
      </c>
      <c r="C25" s="31"/>
      <c r="D25" s="77">
        <v>1.42</v>
      </c>
      <c r="E25" s="31"/>
      <c r="F25" s="37"/>
      <c r="G25" s="33"/>
    </row>
    <row r="26" spans="1:7" x14ac:dyDescent="0.2">
      <c r="A26" s="30"/>
      <c r="B26" s="31" t="s">
        <v>428</v>
      </c>
      <c r="C26" s="31"/>
      <c r="D26" s="16">
        <v>0.04</v>
      </c>
      <c r="E26" s="31"/>
      <c r="F26" s="37"/>
      <c r="G26" s="33"/>
    </row>
    <row r="27" spans="1:7" x14ac:dyDescent="0.2">
      <c r="A27" s="30"/>
      <c r="B27" s="31" t="s">
        <v>17</v>
      </c>
      <c r="C27" s="31"/>
      <c r="D27" s="16">
        <v>3.8850000000000003E-2</v>
      </c>
      <c r="E27" s="31"/>
      <c r="F27" s="32"/>
      <c r="G27" s="33"/>
    </row>
    <row r="28" spans="1:7" x14ac:dyDescent="0.2">
      <c r="A28" s="30"/>
      <c r="B28" s="31" t="s">
        <v>178</v>
      </c>
      <c r="C28" s="31"/>
      <c r="D28" s="78">
        <f>D22*(1+(D26*90/360))/(1+(D27*90/360))</f>
        <v>1.4162031271277715</v>
      </c>
      <c r="E28" s="31"/>
      <c r="F28" s="32"/>
      <c r="G28" s="33"/>
    </row>
    <row r="29" spans="1:7" x14ac:dyDescent="0.2">
      <c r="A29" s="30"/>
      <c r="B29" s="31" t="s">
        <v>429</v>
      </c>
      <c r="C29" s="31"/>
      <c r="D29" s="16">
        <v>0.05</v>
      </c>
      <c r="E29" s="31"/>
      <c r="F29" s="32"/>
      <c r="G29" s="33"/>
    </row>
    <row r="30" spans="1:7" x14ac:dyDescent="0.2">
      <c r="A30" s="30"/>
      <c r="B30" s="31" t="s">
        <v>16</v>
      </c>
      <c r="C30" s="31"/>
      <c r="D30" s="16">
        <v>0.05</v>
      </c>
      <c r="E30" s="31"/>
      <c r="F30" s="32"/>
      <c r="G30" s="33"/>
    </row>
    <row r="31" spans="1:7" x14ac:dyDescent="0.2">
      <c r="A31" s="30"/>
      <c r="B31" s="31" t="s">
        <v>179</v>
      </c>
      <c r="C31" s="31"/>
      <c r="D31" s="16">
        <v>9.6000000000000002E-2</v>
      </c>
      <c r="E31" s="31"/>
      <c r="F31" s="32"/>
      <c r="G31" s="33"/>
    </row>
    <row r="32" spans="1:7" x14ac:dyDescent="0.2">
      <c r="A32" s="30"/>
      <c r="B32" s="31"/>
      <c r="C32" s="31"/>
      <c r="D32" s="42"/>
      <c r="E32" s="31"/>
      <c r="F32" s="32"/>
      <c r="G32" s="33"/>
    </row>
    <row r="33" spans="1:7" x14ac:dyDescent="0.2">
      <c r="A33" s="30"/>
      <c r="B33" s="31"/>
      <c r="C33" s="31"/>
      <c r="D33" s="16"/>
      <c r="E33" s="31"/>
      <c r="F33" s="43" t="s">
        <v>394</v>
      </c>
      <c r="G33" s="33"/>
    </row>
    <row r="34" spans="1:7" x14ac:dyDescent="0.2">
      <c r="A34" s="30"/>
      <c r="B34" s="13" t="s">
        <v>430</v>
      </c>
      <c r="C34" s="31"/>
      <c r="D34" s="14" t="s">
        <v>246</v>
      </c>
      <c r="E34" s="31"/>
      <c r="F34" s="14" t="s">
        <v>393</v>
      </c>
      <c r="G34" s="33"/>
    </row>
    <row r="35" spans="1:7" x14ac:dyDescent="0.2">
      <c r="A35" s="30"/>
      <c r="B35" s="31"/>
      <c r="C35" s="31"/>
      <c r="D35" s="31"/>
      <c r="E35" s="31"/>
      <c r="F35" s="32"/>
      <c r="G35" s="33"/>
    </row>
    <row r="36" spans="1:7" x14ac:dyDescent="0.2">
      <c r="A36" s="30"/>
      <c r="B36" s="44" t="s">
        <v>435</v>
      </c>
      <c r="C36" s="31"/>
      <c r="D36" s="31"/>
      <c r="E36" s="31"/>
      <c r="F36" s="32"/>
      <c r="G36" s="33"/>
    </row>
    <row r="37" spans="1:7" x14ac:dyDescent="0.2">
      <c r="A37" s="30"/>
      <c r="B37" s="45" t="s">
        <v>86</v>
      </c>
      <c r="C37" s="31"/>
      <c r="D37" s="31"/>
      <c r="E37" s="31"/>
      <c r="F37" s="32"/>
      <c r="G37" s="33"/>
    </row>
    <row r="38" spans="1:7" x14ac:dyDescent="0.2">
      <c r="A38" s="30"/>
      <c r="B38" s="31"/>
      <c r="C38" s="31"/>
      <c r="D38" s="31"/>
      <c r="E38" s="31"/>
      <c r="F38" s="32"/>
      <c r="G38" s="33"/>
    </row>
    <row r="39" spans="1:7" x14ac:dyDescent="0.2">
      <c r="A39" s="30"/>
      <c r="B39" s="45" t="s">
        <v>392</v>
      </c>
      <c r="C39" s="31"/>
      <c r="D39" s="184">
        <f>$D$21*D22</f>
        <v>42474000</v>
      </c>
      <c r="E39" s="31"/>
      <c r="F39" s="32" t="s">
        <v>262</v>
      </c>
      <c r="G39" s="33"/>
    </row>
    <row r="40" spans="1:7" x14ac:dyDescent="0.2">
      <c r="A40" s="30"/>
      <c r="B40" s="45"/>
      <c r="C40" s="31"/>
      <c r="D40" s="46"/>
      <c r="E40" s="31"/>
      <c r="F40" s="32"/>
      <c r="G40" s="33"/>
    </row>
    <row r="41" spans="1:7" x14ac:dyDescent="0.2">
      <c r="A41" s="30"/>
      <c r="B41" s="45" t="s">
        <v>431</v>
      </c>
      <c r="C41" s="31"/>
      <c r="D41" s="184">
        <f>$D$21*D23</f>
        <v>42516000</v>
      </c>
      <c r="E41" s="31"/>
      <c r="F41" s="32" t="s">
        <v>262</v>
      </c>
      <c r="G41" s="33"/>
    </row>
    <row r="42" spans="1:7" x14ac:dyDescent="0.2">
      <c r="A42" s="30"/>
      <c r="B42" s="45"/>
      <c r="C42" s="31"/>
      <c r="D42" s="31"/>
      <c r="E42" s="31"/>
      <c r="F42" s="32"/>
      <c r="G42" s="33"/>
    </row>
    <row r="43" spans="1:7" x14ac:dyDescent="0.2">
      <c r="A43" s="30"/>
      <c r="B43" s="45" t="s">
        <v>432</v>
      </c>
      <c r="C43" s="31"/>
      <c r="D43" s="184">
        <f>$D$21*D24</f>
        <v>42585000</v>
      </c>
      <c r="E43" s="31"/>
      <c r="F43" s="32" t="s">
        <v>262</v>
      </c>
      <c r="G43" s="33"/>
    </row>
    <row r="44" spans="1:7" x14ac:dyDescent="0.2">
      <c r="A44" s="30"/>
      <c r="B44" s="31"/>
      <c r="C44" s="31"/>
      <c r="D44" s="31"/>
      <c r="E44" s="31"/>
      <c r="F44" s="32"/>
      <c r="G44" s="33"/>
    </row>
    <row r="45" spans="1:7" x14ac:dyDescent="0.2">
      <c r="A45" s="30"/>
      <c r="B45" s="45" t="s">
        <v>433</v>
      </c>
      <c r="C45" s="31"/>
      <c r="D45" s="184">
        <f>$D$21*D25</f>
        <v>42600000</v>
      </c>
      <c r="E45" s="31"/>
      <c r="F45" s="32" t="s">
        <v>262</v>
      </c>
      <c r="G45" s="33"/>
    </row>
    <row r="46" spans="1:7" x14ac:dyDescent="0.2">
      <c r="A46" s="30"/>
      <c r="B46" s="31"/>
      <c r="C46" s="31"/>
      <c r="D46" s="31"/>
      <c r="E46" s="31"/>
      <c r="F46" s="32"/>
      <c r="G46" s="33"/>
    </row>
    <row r="47" spans="1:7" x14ac:dyDescent="0.2">
      <c r="A47" s="30"/>
      <c r="B47" s="44" t="s">
        <v>434</v>
      </c>
      <c r="C47" s="31"/>
      <c r="D47" s="31"/>
      <c r="E47" s="31"/>
      <c r="F47" s="32"/>
      <c r="G47" s="33"/>
    </row>
    <row r="48" spans="1:7" x14ac:dyDescent="0.2">
      <c r="A48" s="30"/>
      <c r="B48" s="31"/>
      <c r="C48" s="31"/>
      <c r="D48" s="31"/>
      <c r="E48" s="31"/>
      <c r="F48" s="32"/>
      <c r="G48" s="33"/>
    </row>
    <row r="49" spans="1:7" x14ac:dyDescent="0.2">
      <c r="A49" s="30"/>
      <c r="B49" s="47" t="s">
        <v>436</v>
      </c>
      <c r="C49" s="31"/>
      <c r="D49" s="184">
        <f>$D$21*D23</f>
        <v>42516000</v>
      </c>
      <c r="E49" s="31"/>
      <c r="F49" s="32" t="s">
        <v>263</v>
      </c>
      <c r="G49" s="33"/>
    </row>
    <row r="50" spans="1:7" x14ac:dyDescent="0.2">
      <c r="A50" s="30"/>
      <c r="B50" s="47"/>
      <c r="C50" s="31"/>
      <c r="D50" s="31"/>
      <c r="E50" s="31"/>
      <c r="F50" s="32"/>
      <c r="G50" s="33"/>
    </row>
    <row r="51" spans="1:7" x14ac:dyDescent="0.2">
      <c r="A51" s="30"/>
      <c r="B51" s="47" t="s">
        <v>437</v>
      </c>
      <c r="C51" s="31"/>
      <c r="D51" s="184">
        <f>$D$21*D24</f>
        <v>42585000</v>
      </c>
      <c r="E51" s="31"/>
      <c r="F51" s="32" t="s">
        <v>263</v>
      </c>
      <c r="G51" s="33"/>
    </row>
    <row r="52" spans="1:7" x14ac:dyDescent="0.2">
      <c r="A52" s="30"/>
      <c r="B52" s="31"/>
      <c r="C52" s="31"/>
      <c r="D52" s="31"/>
      <c r="E52" s="31"/>
      <c r="F52" s="32"/>
      <c r="G52" s="33"/>
    </row>
    <row r="53" spans="1:7" x14ac:dyDescent="0.2">
      <c r="A53" s="30"/>
      <c r="B53" s="44" t="s">
        <v>438</v>
      </c>
      <c r="C53" s="31"/>
      <c r="D53" s="31"/>
      <c r="E53" s="31"/>
      <c r="F53" s="32"/>
      <c r="G53" s="33"/>
    </row>
    <row r="54" spans="1:7" x14ac:dyDescent="0.2">
      <c r="A54" s="30"/>
      <c r="B54" s="47" t="s">
        <v>440</v>
      </c>
      <c r="C54" s="31"/>
      <c r="D54" s="75">
        <f>D21</f>
        <v>30000000</v>
      </c>
      <c r="E54" s="31"/>
      <c r="F54" s="32"/>
      <c r="G54" s="33"/>
    </row>
    <row r="55" spans="1:7" x14ac:dyDescent="0.2">
      <c r="A55" s="30"/>
      <c r="B55" s="47" t="s">
        <v>441</v>
      </c>
      <c r="C55" s="31"/>
      <c r="D55" s="49">
        <f>1/(1+(D30*90/360))</f>
        <v>0.98765432098765438</v>
      </c>
      <c r="E55" s="31"/>
      <c r="F55" s="236" t="s">
        <v>552</v>
      </c>
      <c r="G55" s="33"/>
    </row>
    <row r="56" spans="1:7" x14ac:dyDescent="0.2">
      <c r="A56" s="30"/>
      <c r="B56" s="47" t="s">
        <v>439</v>
      </c>
      <c r="C56" s="31"/>
      <c r="D56" s="75">
        <f>D54*D55</f>
        <v>29629629.629629631</v>
      </c>
      <c r="E56" s="31"/>
      <c r="F56" s="234"/>
      <c r="G56" s="33"/>
    </row>
    <row r="57" spans="1:7" x14ac:dyDescent="0.2">
      <c r="A57" s="30"/>
      <c r="B57" s="47"/>
      <c r="C57" s="31"/>
      <c r="D57" s="75"/>
      <c r="E57" s="31"/>
      <c r="F57" s="32"/>
      <c r="G57" s="33"/>
    </row>
    <row r="58" spans="1:7" x14ac:dyDescent="0.2">
      <c r="A58" s="30"/>
      <c r="B58" s="47" t="s">
        <v>427</v>
      </c>
      <c r="C58" s="31"/>
      <c r="D58" s="78">
        <f>D22</f>
        <v>1.4157999999999999</v>
      </c>
      <c r="E58" s="31"/>
      <c r="F58" s="32"/>
      <c r="G58" s="33"/>
    </row>
    <row r="59" spans="1:7" x14ac:dyDescent="0.2">
      <c r="A59" s="30"/>
      <c r="B59" s="47" t="s">
        <v>442</v>
      </c>
      <c r="C59" s="31"/>
      <c r="D59" s="79">
        <f>D56*D58</f>
        <v>41949629.629629627</v>
      </c>
      <c r="E59" s="31"/>
      <c r="F59" s="32"/>
      <c r="G59" s="33"/>
    </row>
    <row r="60" spans="1:7" x14ac:dyDescent="0.2">
      <c r="A60" s="30"/>
      <c r="B60" s="47" t="s">
        <v>87</v>
      </c>
      <c r="C60" s="31"/>
      <c r="D60" s="49">
        <f>1+(D31*90/360)</f>
        <v>1.024</v>
      </c>
      <c r="E60" s="31"/>
      <c r="F60" s="47" t="s">
        <v>198</v>
      </c>
      <c r="G60" s="33"/>
    </row>
    <row r="61" spans="1:7" x14ac:dyDescent="0.2">
      <c r="A61" s="30"/>
      <c r="B61" s="47"/>
      <c r="C61" s="31"/>
      <c r="D61" s="21"/>
      <c r="E61" s="31"/>
      <c r="F61" s="47"/>
      <c r="G61" s="33"/>
    </row>
    <row r="62" spans="1:7" x14ac:dyDescent="0.2">
      <c r="A62" s="30"/>
      <c r="B62" s="47" t="s">
        <v>443</v>
      </c>
      <c r="C62" s="31"/>
      <c r="D62" s="184">
        <f>D59*D60</f>
        <v>42956420.740740739</v>
      </c>
      <c r="E62" s="31"/>
      <c r="F62" s="32" t="s">
        <v>263</v>
      </c>
      <c r="G62" s="33"/>
    </row>
    <row r="63" spans="1:7" x14ac:dyDescent="0.2">
      <c r="A63" s="30"/>
      <c r="B63" s="47"/>
      <c r="C63" s="31"/>
      <c r="D63" s="44"/>
      <c r="E63" s="31"/>
      <c r="F63" s="32"/>
      <c r="G63" s="33"/>
    </row>
    <row r="64" spans="1:7" x14ac:dyDescent="0.2">
      <c r="A64" s="30"/>
      <c r="B64" s="51" t="s">
        <v>444</v>
      </c>
      <c r="C64" s="52"/>
      <c r="D64" s="13"/>
      <c r="E64" s="52"/>
      <c r="F64" s="53"/>
      <c r="G64" s="33"/>
    </row>
    <row r="65" spans="1:7" x14ac:dyDescent="0.2">
      <c r="A65" s="30"/>
      <c r="B65" s="47"/>
      <c r="C65" s="31"/>
      <c r="D65" s="31"/>
      <c r="E65" s="31"/>
      <c r="F65" s="32"/>
      <c r="G65" s="33"/>
    </row>
    <row r="66" spans="1:7" x14ac:dyDescent="0.2">
      <c r="A66" s="30"/>
      <c r="B66" s="362" t="s">
        <v>180</v>
      </c>
      <c r="C66" s="348"/>
      <c r="D66" s="348"/>
      <c r="E66" s="348"/>
      <c r="F66" s="348"/>
      <c r="G66" s="33"/>
    </row>
    <row r="67" spans="1:7" x14ac:dyDescent="0.2">
      <c r="A67" s="30"/>
      <c r="B67" s="348"/>
      <c r="C67" s="348"/>
      <c r="D67" s="348"/>
      <c r="E67" s="348"/>
      <c r="F67" s="348"/>
      <c r="G67" s="33"/>
    </row>
    <row r="68" spans="1:7" ht="13.5" thickBot="1" x14ac:dyDescent="0.25">
      <c r="A68" s="55"/>
      <c r="B68" s="56"/>
      <c r="C68" s="56"/>
      <c r="D68" s="56"/>
      <c r="E68" s="56"/>
      <c r="F68" s="57"/>
      <c r="G68" s="58"/>
    </row>
  </sheetData>
  <mergeCells count="3">
    <mergeCell ref="B2:F2"/>
    <mergeCell ref="B66:F67"/>
    <mergeCell ref="B4:F9"/>
  </mergeCells>
  <phoneticPr fontId="0" type="noConversion"/>
  <printOptions horizontalCentered="1"/>
  <pageMargins left="0.75" right="0.75" top="1" bottom="1" header="0.5" footer="0.5"/>
  <pageSetup scale="7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workbookViewId="0"/>
  </sheetViews>
  <sheetFormatPr defaultRowHeight="12.75" x14ac:dyDescent="0.2"/>
  <cols>
    <col min="1" max="1" width="2.83203125" customWidth="1"/>
    <col min="2" max="2" width="60.83203125" customWidth="1"/>
    <col min="3" max="3" width="2.83203125" customWidth="1"/>
    <col min="4" max="4" width="20.83203125" customWidth="1"/>
    <col min="5" max="5" width="2.83203125" customWidth="1"/>
    <col min="6" max="6" width="20.83203125" style="3" customWidth="1"/>
    <col min="7" max="7" width="2.83203125" customWidth="1"/>
  </cols>
  <sheetData>
    <row r="1" spans="1:7" x14ac:dyDescent="0.2">
      <c r="A1" s="59"/>
      <c r="B1" s="60"/>
      <c r="C1" s="60"/>
      <c r="D1" s="60"/>
      <c r="E1" s="60"/>
      <c r="F1" s="61"/>
      <c r="G1" s="62"/>
    </row>
    <row r="2" spans="1:7" ht="18.75" x14ac:dyDescent="0.3">
      <c r="A2" s="1"/>
      <c r="B2" s="342" t="s">
        <v>576</v>
      </c>
      <c r="C2" s="342"/>
      <c r="D2" s="342"/>
      <c r="E2" s="346"/>
      <c r="F2" s="346"/>
      <c r="G2" s="2"/>
    </row>
    <row r="3" spans="1:7" x14ac:dyDescent="0.2">
      <c r="A3" s="30"/>
      <c r="B3" s="8"/>
      <c r="C3" s="31"/>
      <c r="D3" s="31"/>
      <c r="E3" s="31"/>
      <c r="F3" s="32"/>
      <c r="G3" s="33"/>
    </row>
    <row r="4" spans="1:7" x14ac:dyDescent="0.2">
      <c r="A4" s="30"/>
      <c r="B4" s="344" t="s">
        <v>546</v>
      </c>
      <c r="C4" s="354"/>
      <c r="D4" s="354"/>
      <c r="E4" s="354"/>
      <c r="F4" s="354"/>
      <c r="G4" s="33"/>
    </row>
    <row r="5" spans="1:7" x14ac:dyDescent="0.2">
      <c r="A5" s="30"/>
      <c r="B5" s="354"/>
      <c r="C5" s="354"/>
      <c r="D5" s="354"/>
      <c r="E5" s="354"/>
      <c r="F5" s="354"/>
      <c r="G5" s="33"/>
    </row>
    <row r="6" spans="1:7" x14ac:dyDescent="0.2">
      <c r="A6" s="30"/>
      <c r="B6" s="354"/>
      <c r="C6" s="354"/>
      <c r="D6" s="354"/>
      <c r="E6" s="354"/>
      <c r="F6" s="354"/>
      <c r="G6" s="33"/>
    </row>
    <row r="7" spans="1:7" x14ac:dyDescent="0.2">
      <c r="A7" s="30"/>
      <c r="B7" s="354"/>
      <c r="C7" s="354"/>
      <c r="D7" s="354"/>
      <c r="E7" s="354"/>
      <c r="F7" s="354"/>
      <c r="G7" s="33"/>
    </row>
    <row r="8" spans="1:7" x14ac:dyDescent="0.2">
      <c r="A8" s="30"/>
      <c r="B8" s="354"/>
      <c r="C8" s="354"/>
      <c r="D8" s="354"/>
      <c r="E8" s="354"/>
      <c r="F8" s="354"/>
      <c r="G8" s="33"/>
    </row>
    <row r="9" spans="1:7" x14ac:dyDescent="0.2">
      <c r="A9" s="30"/>
      <c r="B9" s="354"/>
      <c r="C9" s="354"/>
      <c r="D9" s="354"/>
      <c r="E9" s="354"/>
      <c r="F9" s="354"/>
      <c r="G9" s="33"/>
    </row>
    <row r="10" spans="1:7" x14ac:dyDescent="0.2">
      <c r="A10" s="30"/>
      <c r="B10" s="354"/>
      <c r="C10" s="354"/>
      <c r="D10" s="354"/>
      <c r="E10" s="354"/>
      <c r="F10" s="354"/>
      <c r="G10" s="33"/>
    </row>
    <row r="11" spans="1:7" x14ac:dyDescent="0.2">
      <c r="A11" s="30"/>
      <c r="B11" s="354"/>
      <c r="C11" s="354"/>
      <c r="D11" s="354"/>
      <c r="E11" s="354"/>
      <c r="F11" s="354"/>
      <c r="G11" s="33"/>
    </row>
    <row r="12" spans="1:7" x14ac:dyDescent="0.2">
      <c r="A12" s="30"/>
      <c r="B12" s="31"/>
      <c r="C12" s="31"/>
      <c r="D12" s="31"/>
      <c r="E12" s="31"/>
      <c r="F12" s="32"/>
      <c r="G12" s="33"/>
    </row>
    <row r="13" spans="1:7" x14ac:dyDescent="0.2">
      <c r="A13" s="30"/>
      <c r="B13" s="13" t="s">
        <v>247</v>
      </c>
      <c r="C13" s="31"/>
      <c r="D13" s="14" t="s">
        <v>246</v>
      </c>
      <c r="E13" s="31"/>
      <c r="F13" s="34"/>
      <c r="G13" s="33"/>
    </row>
    <row r="14" spans="1:7" x14ac:dyDescent="0.2">
      <c r="A14" s="30"/>
      <c r="B14" s="9" t="s">
        <v>1</v>
      </c>
      <c r="C14" s="31"/>
      <c r="D14" s="110">
        <v>1560000</v>
      </c>
      <c r="E14" s="31"/>
      <c r="F14" s="36"/>
      <c r="G14" s="33"/>
    </row>
    <row r="15" spans="1:7" x14ac:dyDescent="0.2">
      <c r="A15" s="30"/>
      <c r="B15" s="31" t="s">
        <v>2</v>
      </c>
      <c r="C15" s="31"/>
      <c r="D15" s="77">
        <v>1.2223999999999999</v>
      </c>
      <c r="E15" s="31"/>
      <c r="F15" s="32"/>
      <c r="G15" s="33"/>
    </row>
    <row r="16" spans="1:7" x14ac:dyDescent="0.2">
      <c r="A16" s="30"/>
      <c r="B16" s="31" t="s">
        <v>3</v>
      </c>
      <c r="C16" s="31"/>
      <c r="D16" s="77">
        <v>1.2270000000000001</v>
      </c>
      <c r="E16" s="31"/>
      <c r="F16" s="32"/>
      <c r="G16" s="33"/>
    </row>
    <row r="17" spans="1:7" x14ac:dyDescent="0.2">
      <c r="A17" s="30"/>
      <c r="B17" s="31" t="s">
        <v>5</v>
      </c>
      <c r="C17" s="31"/>
      <c r="D17" s="77">
        <v>1.1599999999999999</v>
      </c>
      <c r="E17" s="31"/>
      <c r="F17" s="32"/>
      <c r="G17" s="33"/>
    </row>
    <row r="18" spans="1:7" x14ac:dyDescent="0.2">
      <c r="A18" s="30"/>
      <c r="B18" s="31" t="s">
        <v>4</v>
      </c>
      <c r="C18" s="31"/>
      <c r="D18" s="77">
        <v>1.26</v>
      </c>
      <c r="E18" s="31"/>
      <c r="F18" s="32"/>
      <c r="G18" s="33"/>
    </row>
    <row r="19" spans="1:7" x14ac:dyDescent="0.2">
      <c r="A19" s="30"/>
      <c r="B19" s="31"/>
      <c r="C19" s="31"/>
      <c r="D19" s="42"/>
      <c r="E19" s="31"/>
      <c r="F19" s="32"/>
      <c r="G19" s="33"/>
    </row>
    <row r="20" spans="1:7" x14ac:dyDescent="0.2">
      <c r="A20" s="30"/>
      <c r="B20" s="31"/>
      <c r="C20" s="31"/>
      <c r="D20" s="43" t="s">
        <v>358</v>
      </c>
      <c r="E20" s="31"/>
      <c r="F20" s="43" t="s">
        <v>358</v>
      </c>
      <c r="G20" s="33"/>
    </row>
    <row r="21" spans="1:7" x14ac:dyDescent="0.2">
      <c r="A21" s="30"/>
      <c r="B21" s="13" t="s">
        <v>181</v>
      </c>
      <c r="C21" s="31"/>
      <c r="D21" s="14" t="s">
        <v>357</v>
      </c>
      <c r="E21" s="31"/>
      <c r="F21" s="14" t="s">
        <v>359</v>
      </c>
      <c r="G21" s="33"/>
    </row>
    <row r="22" spans="1:7" x14ac:dyDescent="0.2">
      <c r="A22" s="30"/>
      <c r="B22" s="44"/>
      <c r="C22" s="31"/>
      <c r="D22" s="43"/>
      <c r="E22" s="31"/>
      <c r="F22" s="43"/>
      <c r="G22" s="33"/>
    </row>
    <row r="23" spans="1:7" x14ac:dyDescent="0.2">
      <c r="A23" s="30"/>
      <c r="B23" s="14" t="s">
        <v>360</v>
      </c>
      <c r="C23" s="31"/>
      <c r="D23" s="100">
        <v>0.7</v>
      </c>
      <c r="E23" s="31"/>
      <c r="F23" s="100">
        <v>1.2</v>
      </c>
      <c r="G23" s="33"/>
    </row>
    <row r="24" spans="1:7" x14ac:dyDescent="0.2">
      <c r="A24" s="30"/>
      <c r="B24" s="47" t="s">
        <v>6</v>
      </c>
      <c r="C24" s="31"/>
      <c r="D24" s="111">
        <f>D14</f>
        <v>1560000</v>
      </c>
      <c r="E24" s="31"/>
      <c r="F24" s="111">
        <f>D14</f>
        <v>1560000</v>
      </c>
      <c r="G24" s="33"/>
    </row>
    <row r="25" spans="1:7" x14ac:dyDescent="0.2">
      <c r="A25" s="30"/>
      <c r="B25" s="47" t="s">
        <v>361</v>
      </c>
      <c r="C25" s="31"/>
      <c r="D25" s="101">
        <f>D23</f>
        <v>0.7</v>
      </c>
      <c r="E25" s="31"/>
      <c r="F25" s="102">
        <f>F23</f>
        <v>1.2</v>
      </c>
      <c r="G25" s="33"/>
    </row>
    <row r="26" spans="1:7" x14ac:dyDescent="0.2">
      <c r="A26" s="30"/>
      <c r="B26" s="47" t="s">
        <v>355</v>
      </c>
      <c r="C26" s="31"/>
      <c r="D26" s="111">
        <f>D24*D25</f>
        <v>1092000</v>
      </c>
      <c r="E26" s="31"/>
      <c r="F26" s="111">
        <f>F24*F25</f>
        <v>1872000</v>
      </c>
      <c r="G26" s="33"/>
    </row>
    <row r="27" spans="1:7" x14ac:dyDescent="0.2">
      <c r="A27" s="30"/>
      <c r="B27" s="47" t="s">
        <v>7</v>
      </c>
      <c r="C27" s="31"/>
      <c r="D27" s="78">
        <f>D16</f>
        <v>1.2270000000000001</v>
      </c>
      <c r="E27" s="31"/>
      <c r="F27" s="78">
        <f>D16</f>
        <v>1.2270000000000001</v>
      </c>
      <c r="G27" s="33"/>
    </row>
    <row r="28" spans="1:7" x14ac:dyDescent="0.2">
      <c r="A28" s="30"/>
      <c r="B28" s="47" t="s">
        <v>354</v>
      </c>
      <c r="C28" s="31"/>
      <c r="D28" s="194">
        <f>D26*D27</f>
        <v>1339884</v>
      </c>
      <c r="E28" s="103"/>
      <c r="F28" s="194">
        <f>F26*F27</f>
        <v>2296944</v>
      </c>
      <c r="G28" s="33"/>
    </row>
    <row r="29" spans="1:7" x14ac:dyDescent="0.2">
      <c r="A29" s="30"/>
      <c r="B29" s="47"/>
      <c r="C29" s="31"/>
      <c r="D29" s="65"/>
      <c r="E29" s="31"/>
      <c r="F29" s="65"/>
      <c r="G29" s="33"/>
    </row>
    <row r="30" spans="1:7" x14ac:dyDescent="0.2">
      <c r="A30" s="30"/>
      <c r="B30" s="14" t="s">
        <v>10</v>
      </c>
      <c r="C30" s="31"/>
      <c r="D30" s="76"/>
      <c r="E30" s="31"/>
      <c r="F30" s="104"/>
      <c r="G30" s="33"/>
    </row>
    <row r="31" spans="1:7" x14ac:dyDescent="0.2">
      <c r="A31" s="30"/>
      <c r="B31" s="47" t="s">
        <v>362</v>
      </c>
      <c r="C31" s="31"/>
      <c r="D31" s="111">
        <f>D14-D26</f>
        <v>468000</v>
      </c>
      <c r="E31" s="31"/>
      <c r="F31" s="111">
        <f>D14-F26</f>
        <v>-312000</v>
      </c>
      <c r="G31" s="33"/>
    </row>
    <row r="32" spans="1:7" x14ac:dyDescent="0.2">
      <c r="A32" s="30"/>
      <c r="B32" s="47" t="s">
        <v>8</v>
      </c>
      <c r="C32" s="31"/>
      <c r="D32" s="78">
        <f>D17</f>
        <v>1.1599999999999999</v>
      </c>
      <c r="E32" s="31"/>
      <c r="F32" s="78">
        <f>D17</f>
        <v>1.1599999999999999</v>
      </c>
      <c r="G32" s="33"/>
    </row>
    <row r="33" spans="1:7" x14ac:dyDescent="0.2">
      <c r="A33" s="30"/>
      <c r="B33" s="47" t="s">
        <v>137</v>
      </c>
      <c r="C33" s="31"/>
      <c r="D33" s="194">
        <f>D31*D32</f>
        <v>542880</v>
      </c>
      <c r="E33" s="103"/>
      <c r="F33" s="194">
        <f>F31*F32</f>
        <v>-361920</v>
      </c>
      <c r="G33" s="33"/>
    </row>
    <row r="34" spans="1:7" x14ac:dyDescent="0.2">
      <c r="A34" s="30"/>
      <c r="B34" s="47"/>
      <c r="C34" s="31"/>
      <c r="D34" s="67"/>
      <c r="E34" s="103"/>
      <c r="F34" s="67"/>
      <c r="G34" s="33"/>
    </row>
    <row r="35" spans="1:7" x14ac:dyDescent="0.2">
      <c r="A35" s="30"/>
      <c r="B35" s="47" t="s">
        <v>136</v>
      </c>
      <c r="C35" s="31"/>
      <c r="D35" s="112">
        <f>D28</f>
        <v>1339884</v>
      </c>
      <c r="E35" s="113"/>
      <c r="F35" s="114">
        <f>F28</f>
        <v>2296944</v>
      </c>
      <c r="G35" s="33"/>
    </row>
    <row r="36" spans="1:7" x14ac:dyDescent="0.2">
      <c r="A36" s="30"/>
      <c r="B36" s="47"/>
      <c r="C36" s="31"/>
      <c r="D36" s="105"/>
      <c r="E36" s="103"/>
      <c r="F36" s="106"/>
      <c r="G36" s="33"/>
    </row>
    <row r="37" spans="1:7" x14ac:dyDescent="0.2">
      <c r="A37" s="30"/>
      <c r="B37" s="47" t="s">
        <v>138</v>
      </c>
      <c r="C37" s="31"/>
      <c r="D37" s="194">
        <f>D28+D33</f>
        <v>1882764</v>
      </c>
      <c r="E37" s="103"/>
      <c r="F37" s="194">
        <f>F28+F33</f>
        <v>1935024</v>
      </c>
      <c r="G37" s="33"/>
    </row>
    <row r="38" spans="1:7" x14ac:dyDescent="0.2">
      <c r="A38" s="30"/>
      <c r="B38" s="31"/>
      <c r="C38" s="31"/>
      <c r="D38" s="44"/>
      <c r="E38" s="31"/>
      <c r="F38" s="34"/>
      <c r="G38" s="33"/>
    </row>
    <row r="39" spans="1:7" x14ac:dyDescent="0.2">
      <c r="A39" s="30"/>
      <c r="B39" s="14" t="s">
        <v>9</v>
      </c>
      <c r="C39" s="31"/>
      <c r="D39" s="44"/>
      <c r="E39" s="31"/>
      <c r="F39" s="32"/>
      <c r="G39" s="33"/>
    </row>
    <row r="40" spans="1:7" x14ac:dyDescent="0.2">
      <c r="A40" s="30"/>
      <c r="B40" s="47" t="s">
        <v>362</v>
      </c>
      <c r="C40" s="31"/>
      <c r="D40" s="111">
        <f>D14-D26</f>
        <v>468000</v>
      </c>
      <c r="E40" s="31"/>
      <c r="F40" s="111">
        <f>D14-F26</f>
        <v>-312000</v>
      </c>
      <c r="G40" s="33"/>
    </row>
    <row r="41" spans="1:7" x14ac:dyDescent="0.2">
      <c r="A41" s="30"/>
      <c r="B41" s="47" t="s">
        <v>8</v>
      </c>
      <c r="C41" s="31"/>
      <c r="D41" s="78">
        <f>D18</f>
        <v>1.26</v>
      </c>
      <c r="E41" s="31"/>
      <c r="F41" s="78">
        <f>D18</f>
        <v>1.26</v>
      </c>
      <c r="G41" s="33"/>
    </row>
    <row r="42" spans="1:7" x14ac:dyDescent="0.2">
      <c r="A42" s="30"/>
      <c r="B42" s="47" t="s">
        <v>356</v>
      </c>
      <c r="C42" s="31"/>
      <c r="D42" s="112">
        <f>D40*D41</f>
        <v>589680</v>
      </c>
      <c r="E42" s="113"/>
      <c r="F42" s="114">
        <f>F40*F41</f>
        <v>-393120</v>
      </c>
      <c r="G42" s="33"/>
    </row>
    <row r="43" spans="1:7" x14ac:dyDescent="0.2">
      <c r="A43" s="30"/>
      <c r="B43" s="47"/>
      <c r="C43" s="31"/>
      <c r="D43" s="19"/>
      <c r="E43" s="108"/>
      <c r="F43" s="19"/>
      <c r="G43" s="33"/>
    </row>
    <row r="44" spans="1:7" x14ac:dyDescent="0.2">
      <c r="A44" s="30"/>
      <c r="B44" s="47" t="s">
        <v>139</v>
      </c>
      <c r="C44" s="31"/>
      <c r="D44" s="19">
        <f>D28</f>
        <v>1339884</v>
      </c>
      <c r="E44" s="108"/>
      <c r="F44" s="19">
        <f>F28</f>
        <v>2296944</v>
      </c>
      <c r="G44" s="33"/>
    </row>
    <row r="45" spans="1:7" x14ac:dyDescent="0.2">
      <c r="A45" s="30"/>
      <c r="B45" s="31"/>
      <c r="C45" s="31"/>
      <c r="D45" s="105"/>
      <c r="E45" s="103"/>
      <c r="F45" s="106"/>
      <c r="G45" s="33"/>
    </row>
    <row r="46" spans="1:7" x14ac:dyDescent="0.2">
      <c r="A46" s="30"/>
      <c r="B46" s="47" t="s">
        <v>138</v>
      </c>
      <c r="C46" s="31"/>
      <c r="D46" s="194">
        <f>D44+D42</f>
        <v>1929564</v>
      </c>
      <c r="E46" s="107"/>
      <c r="F46" s="194">
        <f>F44+F42</f>
        <v>1903824</v>
      </c>
      <c r="G46" s="33"/>
    </row>
    <row r="47" spans="1:7" x14ac:dyDescent="0.2">
      <c r="A47" s="30"/>
      <c r="B47" s="47"/>
      <c r="C47" s="31"/>
      <c r="D47" s="109"/>
      <c r="E47" s="107"/>
      <c r="F47" s="109"/>
      <c r="G47" s="33"/>
    </row>
    <row r="48" spans="1:7" x14ac:dyDescent="0.2">
      <c r="A48" s="30"/>
      <c r="B48" s="70" t="s">
        <v>363</v>
      </c>
      <c r="C48" s="31"/>
      <c r="D48" s="194">
        <f>$D$14*$D$16</f>
        <v>1914120.0000000002</v>
      </c>
      <c r="E48" s="107"/>
      <c r="F48" s="194">
        <f>$D$14*$D$16</f>
        <v>1914120.0000000002</v>
      </c>
      <c r="G48" s="33"/>
    </row>
    <row r="49" spans="1:7" x14ac:dyDescent="0.2">
      <c r="A49" s="30"/>
      <c r="B49" s="31"/>
      <c r="C49" s="31"/>
      <c r="D49" s="31"/>
      <c r="E49" s="31"/>
      <c r="F49" s="32"/>
      <c r="G49" s="33"/>
    </row>
    <row r="50" spans="1:7" x14ac:dyDescent="0.2">
      <c r="A50" s="30"/>
      <c r="B50" s="362" t="s">
        <v>11</v>
      </c>
      <c r="C50" s="348"/>
      <c r="D50" s="348"/>
      <c r="E50" s="348"/>
      <c r="F50" s="348"/>
      <c r="G50" s="33"/>
    </row>
    <row r="51" spans="1:7" x14ac:dyDescent="0.2">
      <c r="A51" s="30"/>
      <c r="B51" s="348"/>
      <c r="C51" s="348"/>
      <c r="D51" s="348"/>
      <c r="E51" s="348"/>
      <c r="F51" s="348"/>
      <c r="G51" s="33"/>
    </row>
    <row r="52" spans="1:7" x14ac:dyDescent="0.2">
      <c r="A52" s="30"/>
      <c r="B52" s="348"/>
      <c r="C52" s="348"/>
      <c r="D52" s="348"/>
      <c r="E52" s="348"/>
      <c r="F52" s="348"/>
      <c r="G52" s="33"/>
    </row>
    <row r="53" spans="1:7" ht="13.5" thickBot="1" x14ac:dyDescent="0.25">
      <c r="A53" s="55"/>
      <c r="B53" s="56"/>
      <c r="C53" s="56"/>
      <c r="D53" s="56"/>
      <c r="E53" s="56"/>
      <c r="F53" s="57"/>
      <c r="G53" s="58"/>
    </row>
  </sheetData>
  <mergeCells count="3">
    <mergeCell ref="B2:F2"/>
    <mergeCell ref="B50:F52"/>
    <mergeCell ref="B4:F11"/>
  </mergeCells>
  <phoneticPr fontId="0" type="noConversion"/>
  <printOptions horizontalCentered="1"/>
  <pageMargins left="0.75" right="0.75" top="1" bottom="1" header="0.5" footer="0.5"/>
  <pageSetup scale="87" orientation="portrait" r:id="rId1"/>
  <headerFooter alignWithMargins="0"/>
  <ignoredErrors>
    <ignoredError sqref="D27:F27"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workbookViewId="0"/>
  </sheetViews>
  <sheetFormatPr defaultRowHeight="12.75" x14ac:dyDescent="0.2"/>
  <cols>
    <col min="1" max="1" width="2.83203125" customWidth="1"/>
    <col min="2" max="2" width="62.83203125" customWidth="1"/>
    <col min="3" max="3" width="2.83203125" customWidth="1"/>
    <col min="4" max="4" width="16.83203125" customWidth="1"/>
    <col min="5" max="5" width="2.83203125" customWidth="1"/>
    <col min="6" max="6" width="16.83203125" style="3" customWidth="1"/>
    <col min="7" max="7" width="2.83203125" customWidth="1"/>
  </cols>
  <sheetData>
    <row r="1" spans="1:7" x14ac:dyDescent="0.2">
      <c r="A1" s="59"/>
      <c r="B1" s="60"/>
      <c r="C1" s="60"/>
      <c r="D1" s="60"/>
      <c r="E1" s="60"/>
      <c r="F1" s="61"/>
      <c r="G1" s="62"/>
    </row>
    <row r="2" spans="1:7" ht="18.75" x14ac:dyDescent="0.3">
      <c r="A2" s="1"/>
      <c r="B2" s="342" t="s">
        <v>577</v>
      </c>
      <c r="C2" s="342"/>
      <c r="D2" s="342"/>
      <c r="E2" s="363"/>
      <c r="F2" s="363"/>
      <c r="G2" s="2"/>
    </row>
    <row r="3" spans="1:7" x14ac:dyDescent="0.2">
      <c r="A3" s="30"/>
      <c r="B3" s="8"/>
      <c r="C3" s="31"/>
      <c r="D3" s="31"/>
      <c r="E3" s="31"/>
      <c r="F3" s="32"/>
      <c r="G3" s="33"/>
    </row>
    <row r="4" spans="1:7" ht="12.75" customHeight="1" x14ac:dyDescent="0.2">
      <c r="A4" s="30"/>
      <c r="B4" s="364" t="s">
        <v>578</v>
      </c>
      <c r="C4" s="365"/>
      <c r="D4" s="365"/>
      <c r="E4" s="365"/>
      <c r="F4" s="365"/>
      <c r="G4" s="33"/>
    </row>
    <row r="5" spans="1:7" x14ac:dyDescent="0.2">
      <c r="A5" s="30"/>
      <c r="B5" s="365"/>
      <c r="C5" s="365"/>
      <c r="D5" s="365"/>
      <c r="E5" s="365"/>
      <c r="F5" s="365"/>
      <c r="G5" s="33"/>
    </row>
    <row r="6" spans="1:7" x14ac:dyDescent="0.2">
      <c r="A6" s="30"/>
      <c r="B6" s="365"/>
      <c r="C6" s="365"/>
      <c r="D6" s="365"/>
      <c r="E6" s="365"/>
      <c r="F6" s="365"/>
      <c r="G6" s="33"/>
    </row>
    <row r="7" spans="1:7" x14ac:dyDescent="0.2">
      <c r="A7" s="30"/>
      <c r="B7" s="365"/>
      <c r="C7" s="365"/>
      <c r="D7" s="365"/>
      <c r="E7" s="365"/>
      <c r="F7" s="365"/>
      <c r="G7" s="33"/>
    </row>
    <row r="8" spans="1:7" ht="13.5" thickBot="1" x14ac:dyDescent="0.25">
      <c r="A8" s="30"/>
      <c r="B8" s="8"/>
      <c r="C8" s="31"/>
      <c r="D8" s="31"/>
      <c r="E8" s="31"/>
      <c r="F8" s="32"/>
      <c r="G8" s="33"/>
    </row>
    <row r="9" spans="1:7" x14ac:dyDescent="0.2">
      <c r="A9" s="30"/>
      <c r="B9" s="28" t="s">
        <v>252</v>
      </c>
      <c r="C9" s="60"/>
      <c r="D9" s="225">
        <v>8400000</v>
      </c>
      <c r="E9" s="31"/>
      <c r="F9" s="36"/>
      <c r="G9" s="33"/>
    </row>
    <row r="10" spans="1:7" x14ac:dyDescent="0.2">
      <c r="A10" s="30"/>
      <c r="B10" s="31" t="s">
        <v>248</v>
      </c>
      <c r="C10" s="31"/>
      <c r="D10" s="226">
        <v>7</v>
      </c>
      <c r="E10" s="31"/>
      <c r="F10" s="37"/>
      <c r="G10" s="33"/>
    </row>
    <row r="11" spans="1:7" x14ac:dyDescent="0.2">
      <c r="A11" s="30"/>
      <c r="B11" s="31" t="s">
        <v>249</v>
      </c>
      <c r="C11" s="31"/>
      <c r="D11" s="226">
        <v>7.1</v>
      </c>
      <c r="E11" s="31"/>
      <c r="F11" s="37"/>
      <c r="G11" s="33"/>
    </row>
    <row r="12" spans="1:7" x14ac:dyDescent="0.2">
      <c r="A12" s="30"/>
      <c r="B12" s="31" t="s">
        <v>250</v>
      </c>
      <c r="C12" s="31"/>
      <c r="D12" s="227">
        <v>0.14000000000000001</v>
      </c>
      <c r="E12" s="31"/>
      <c r="F12" s="87"/>
      <c r="G12" s="33"/>
    </row>
    <row r="13" spans="1:7" x14ac:dyDescent="0.2">
      <c r="A13" s="30"/>
      <c r="B13" s="31" t="s">
        <v>251</v>
      </c>
      <c r="C13" s="31"/>
      <c r="D13" s="227">
        <v>0.06</v>
      </c>
      <c r="E13" s="31"/>
      <c r="F13" s="87"/>
      <c r="G13" s="33"/>
    </row>
    <row r="14" spans="1:7" ht="13.5" thickBot="1" x14ac:dyDescent="0.25">
      <c r="A14" s="30"/>
      <c r="B14" s="240" t="s">
        <v>579</v>
      </c>
      <c r="C14" s="56"/>
      <c r="D14" s="228">
        <v>0.2</v>
      </c>
      <c r="E14" s="31"/>
      <c r="F14" s="87"/>
      <c r="G14" s="33"/>
    </row>
    <row r="15" spans="1:7" x14ac:dyDescent="0.2">
      <c r="A15" s="30"/>
      <c r="B15" s="31"/>
      <c r="C15" s="31"/>
      <c r="D15" s="16"/>
      <c r="E15" s="31"/>
      <c r="F15" s="87"/>
      <c r="G15" s="33"/>
    </row>
    <row r="16" spans="1:7" x14ac:dyDescent="0.2">
      <c r="A16" s="30"/>
      <c r="B16" s="355" t="s">
        <v>580</v>
      </c>
      <c r="C16" s="354"/>
      <c r="D16" s="354"/>
      <c r="E16" s="354"/>
      <c r="F16" s="354"/>
      <c r="G16" s="33"/>
    </row>
    <row r="17" spans="1:7" x14ac:dyDescent="0.2">
      <c r="A17" s="30"/>
      <c r="B17" s="354"/>
      <c r="C17" s="354"/>
      <c r="D17" s="354"/>
      <c r="E17" s="354"/>
      <c r="F17" s="354"/>
      <c r="G17" s="33"/>
    </row>
    <row r="18" spans="1:7" x14ac:dyDescent="0.2">
      <c r="A18" s="30"/>
      <c r="B18" s="12"/>
      <c r="C18" s="12"/>
      <c r="D18" s="12"/>
      <c r="E18" s="12"/>
      <c r="F18" s="12"/>
      <c r="G18" s="33"/>
    </row>
    <row r="19" spans="1:7" ht="13.5" thickBot="1" x14ac:dyDescent="0.25">
      <c r="A19" s="30"/>
      <c r="B19" s="31" t="s">
        <v>256</v>
      </c>
      <c r="C19" s="31"/>
      <c r="D19" s="31"/>
      <c r="E19" s="31"/>
      <c r="F19" s="32"/>
      <c r="G19" s="33"/>
    </row>
    <row r="20" spans="1:7" x14ac:dyDescent="0.2">
      <c r="A20" s="30"/>
      <c r="B20" s="28" t="s">
        <v>504</v>
      </c>
      <c r="C20" s="60"/>
      <c r="D20" s="229">
        <v>8</v>
      </c>
      <c r="E20" s="31"/>
      <c r="F20" s="37"/>
      <c r="G20" s="33"/>
    </row>
    <row r="21" spans="1:7" x14ac:dyDescent="0.2">
      <c r="A21" s="30"/>
      <c r="B21" s="31" t="s">
        <v>254</v>
      </c>
      <c r="C21" s="31"/>
      <c r="D21" s="226">
        <v>7.3</v>
      </c>
      <c r="E21" s="31"/>
      <c r="F21" s="37"/>
      <c r="G21" s="33"/>
    </row>
    <row r="22" spans="1:7" ht="13.5" thickBot="1" x14ac:dyDescent="0.25">
      <c r="A22" s="30"/>
      <c r="B22" s="25" t="s">
        <v>505</v>
      </c>
      <c r="C22" s="56"/>
      <c r="D22" s="230">
        <v>6.4</v>
      </c>
      <c r="E22" s="31"/>
      <c r="F22" s="37"/>
      <c r="G22" s="33"/>
    </row>
    <row r="23" spans="1:7" x14ac:dyDescent="0.2">
      <c r="A23" s="30"/>
      <c r="B23" s="31"/>
      <c r="C23" s="31"/>
      <c r="D23" s="40"/>
      <c r="E23" s="31"/>
      <c r="F23" s="37"/>
      <c r="G23" s="33"/>
    </row>
    <row r="24" spans="1:7" x14ac:dyDescent="0.2">
      <c r="A24" s="30"/>
      <c r="B24" s="241" t="s">
        <v>581</v>
      </c>
      <c r="C24" s="89"/>
      <c r="D24" s="89"/>
      <c r="E24" s="89"/>
      <c r="F24" s="89"/>
      <c r="G24" s="33"/>
    </row>
    <row r="25" spans="1:7" x14ac:dyDescent="0.2">
      <c r="A25" s="30"/>
      <c r="B25" s="31"/>
      <c r="C25" s="31"/>
      <c r="D25" s="31"/>
      <c r="E25" s="31"/>
      <c r="F25" s="32"/>
      <c r="G25" s="33"/>
    </row>
    <row r="26" spans="1:7" x14ac:dyDescent="0.2">
      <c r="A26" s="30"/>
      <c r="B26" s="13" t="s">
        <v>582</v>
      </c>
      <c r="C26" s="31"/>
      <c r="D26" s="14" t="s">
        <v>261</v>
      </c>
      <c r="E26" s="31"/>
      <c r="F26" s="90" t="s">
        <v>304</v>
      </c>
      <c r="G26" s="33"/>
    </row>
    <row r="27" spans="1:7" x14ac:dyDescent="0.2">
      <c r="A27" s="30"/>
      <c r="B27" s="31" t="s">
        <v>257</v>
      </c>
      <c r="C27" s="31"/>
      <c r="D27" s="31"/>
      <c r="E27" s="31"/>
      <c r="F27" s="32"/>
      <c r="G27" s="33"/>
    </row>
    <row r="28" spans="1:7" x14ac:dyDescent="0.2">
      <c r="A28" s="30"/>
      <c r="B28" s="44" t="s">
        <v>258</v>
      </c>
      <c r="C28" s="31"/>
      <c r="D28" s="31"/>
      <c r="E28" s="31"/>
      <c r="F28" s="32"/>
      <c r="G28" s="33"/>
    </row>
    <row r="29" spans="1:7" x14ac:dyDescent="0.2">
      <c r="A29" s="30"/>
      <c r="B29" s="44"/>
      <c r="C29" s="31"/>
      <c r="D29" s="31"/>
      <c r="E29" s="31"/>
      <c r="F29" s="32"/>
      <c r="G29" s="33"/>
    </row>
    <row r="30" spans="1:7" x14ac:dyDescent="0.2">
      <c r="A30" s="30"/>
      <c r="B30" s="31" t="s">
        <v>253</v>
      </c>
      <c r="C30" s="31"/>
      <c r="D30" s="183">
        <f>$D$9/D20</f>
        <v>1050000</v>
      </c>
      <c r="E30" s="31"/>
      <c r="F30" s="91" t="s">
        <v>262</v>
      </c>
      <c r="G30" s="33"/>
    </row>
    <row r="31" spans="1:7" x14ac:dyDescent="0.2">
      <c r="A31" s="30"/>
      <c r="B31" s="31"/>
      <c r="C31" s="31"/>
      <c r="D31" s="65"/>
      <c r="E31" s="31"/>
      <c r="F31" s="91"/>
      <c r="G31" s="33"/>
    </row>
    <row r="32" spans="1:7" x14ac:dyDescent="0.2">
      <c r="A32" s="30"/>
      <c r="B32" s="31" t="s">
        <v>254</v>
      </c>
      <c r="C32" s="31"/>
      <c r="D32" s="183">
        <f>$D$9/D21</f>
        <v>1150684.9315068494</v>
      </c>
      <c r="E32" s="31"/>
      <c r="F32" s="91" t="s">
        <v>262</v>
      </c>
      <c r="G32" s="33"/>
    </row>
    <row r="33" spans="1:7" x14ac:dyDescent="0.2">
      <c r="A33" s="30"/>
      <c r="B33" s="31"/>
      <c r="C33" s="31"/>
      <c r="D33" s="65"/>
      <c r="E33" s="31"/>
      <c r="F33" s="91"/>
      <c r="G33" s="33"/>
    </row>
    <row r="34" spans="1:7" x14ac:dyDescent="0.2">
      <c r="A34" s="30"/>
      <c r="B34" s="31" t="s">
        <v>255</v>
      </c>
      <c r="C34" s="31"/>
      <c r="D34" s="183">
        <f>$D$9/D22</f>
        <v>1312500</v>
      </c>
      <c r="E34" s="31"/>
      <c r="F34" s="91" t="s">
        <v>262</v>
      </c>
      <c r="G34" s="33"/>
    </row>
    <row r="35" spans="1:7" x14ac:dyDescent="0.2">
      <c r="A35" s="30"/>
      <c r="B35" s="31"/>
      <c r="C35" s="31"/>
      <c r="D35" s="65"/>
      <c r="E35" s="31"/>
      <c r="F35" s="91"/>
      <c r="G35" s="33"/>
    </row>
    <row r="36" spans="1:7" x14ac:dyDescent="0.2">
      <c r="A36" s="30"/>
      <c r="B36" s="44" t="s">
        <v>259</v>
      </c>
      <c r="C36" s="31"/>
      <c r="D36" s="183">
        <f>D9/D11</f>
        <v>1183098.5915492959</v>
      </c>
      <c r="E36" s="31"/>
      <c r="F36" s="91" t="s">
        <v>263</v>
      </c>
      <c r="G36" s="33"/>
    </row>
    <row r="37" spans="1:7" x14ac:dyDescent="0.2">
      <c r="A37" s="30"/>
      <c r="B37" s="9" t="s">
        <v>265</v>
      </c>
      <c r="C37" s="31"/>
      <c r="D37" s="65"/>
      <c r="E37" s="31"/>
      <c r="F37" s="91"/>
      <c r="G37" s="33"/>
    </row>
    <row r="38" spans="1:7" x14ac:dyDescent="0.2">
      <c r="A38" s="30"/>
      <c r="B38" s="31"/>
      <c r="C38" s="31"/>
      <c r="D38" s="31"/>
      <c r="E38" s="31"/>
      <c r="F38" s="92"/>
      <c r="G38" s="33"/>
    </row>
    <row r="39" spans="1:7" x14ac:dyDescent="0.2">
      <c r="A39" s="30"/>
      <c r="B39" s="44" t="s">
        <v>260</v>
      </c>
      <c r="C39" s="31"/>
      <c r="D39" s="31"/>
      <c r="E39" s="31"/>
      <c r="F39" s="92"/>
      <c r="G39" s="33"/>
    </row>
    <row r="40" spans="1:7" x14ac:dyDescent="0.2">
      <c r="A40" s="30"/>
      <c r="B40" s="47" t="s">
        <v>266</v>
      </c>
      <c r="C40" s="31"/>
      <c r="D40" s="48">
        <f>D9/(1+(D12*180/360))</f>
        <v>7850467.2897196254</v>
      </c>
      <c r="E40" s="31"/>
      <c r="F40" s="93"/>
      <c r="G40" s="33"/>
    </row>
    <row r="41" spans="1:7" x14ac:dyDescent="0.2">
      <c r="A41" s="30"/>
      <c r="B41" s="47" t="s">
        <v>267</v>
      </c>
      <c r="C41" s="31"/>
      <c r="D41" s="46">
        <f>D40/D10</f>
        <v>1121495.3271028036</v>
      </c>
      <c r="E41" s="31"/>
      <c r="F41" s="91"/>
      <c r="G41" s="33"/>
    </row>
    <row r="42" spans="1:7" x14ac:dyDescent="0.2">
      <c r="A42" s="30"/>
      <c r="B42" s="47" t="s">
        <v>269</v>
      </c>
      <c r="C42" s="31"/>
      <c r="D42" s="48">
        <f>1+(D14/2)</f>
        <v>1.1000000000000001</v>
      </c>
      <c r="E42" s="31"/>
      <c r="F42" s="91"/>
      <c r="G42" s="33"/>
    </row>
    <row r="43" spans="1:7" x14ac:dyDescent="0.2">
      <c r="A43" s="30"/>
      <c r="B43" s="45" t="s">
        <v>268</v>
      </c>
      <c r="C43" s="31"/>
      <c r="D43" s="183">
        <f>D41*D42</f>
        <v>1233644.8598130841</v>
      </c>
      <c r="E43" s="31"/>
      <c r="F43" s="91" t="s">
        <v>263</v>
      </c>
      <c r="G43" s="33"/>
    </row>
    <row r="44" spans="1:7" x14ac:dyDescent="0.2">
      <c r="A44" s="30"/>
      <c r="B44" s="45"/>
      <c r="C44" s="31"/>
      <c r="D44" s="65"/>
      <c r="E44" s="31"/>
      <c r="F44" s="94"/>
      <c r="G44" s="33"/>
    </row>
    <row r="45" spans="1:7" x14ac:dyDescent="0.2">
      <c r="A45" s="30"/>
      <c r="B45" s="69" t="s">
        <v>270</v>
      </c>
      <c r="C45" s="31"/>
      <c r="D45" s="65"/>
      <c r="E45" s="31"/>
      <c r="F45" s="94"/>
      <c r="G45" s="33"/>
    </row>
    <row r="46" spans="1:7" ht="13.5" thickBot="1" x14ac:dyDescent="0.25">
      <c r="A46" s="55"/>
      <c r="B46" s="56"/>
      <c r="C46" s="56"/>
      <c r="D46" s="56"/>
      <c r="E46" s="56"/>
      <c r="F46" s="57"/>
      <c r="G46" s="58"/>
    </row>
  </sheetData>
  <mergeCells count="3">
    <mergeCell ref="B2:F2"/>
    <mergeCell ref="B16:F17"/>
    <mergeCell ref="B4:F7"/>
  </mergeCells>
  <phoneticPr fontId="0" type="noConversion"/>
  <printOptions horizontalCentered="1"/>
  <pageMargins left="0.75" right="0.75" top="1" bottom="1" header="0.5" footer="0.5"/>
  <pageSetup scale="9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workbookViewId="0"/>
  </sheetViews>
  <sheetFormatPr defaultColWidth="9.33203125" defaultRowHeight="12.75" x14ac:dyDescent="0.2"/>
  <cols>
    <col min="1" max="1" width="3.1640625" style="4" customWidth="1"/>
    <col min="2" max="2" width="24.83203125" style="4" customWidth="1"/>
    <col min="3" max="3" width="1.83203125" style="4" customWidth="1"/>
    <col min="4" max="4" width="35.83203125" style="4" customWidth="1"/>
    <col min="5" max="5" width="1.83203125" style="4" customWidth="1"/>
    <col min="6" max="6" width="16.83203125" style="4" customWidth="1"/>
    <col min="7" max="7" width="1.83203125" style="4" customWidth="1"/>
    <col min="8" max="8" width="14.83203125" style="4" customWidth="1"/>
    <col min="9" max="9" width="1.83203125" style="4" customWidth="1"/>
    <col min="10" max="10" width="14.83203125" style="4" customWidth="1"/>
    <col min="11" max="11" width="2.83203125" style="4" customWidth="1"/>
    <col min="12" max="16384" width="9.33203125" style="4"/>
  </cols>
  <sheetData>
    <row r="1" spans="1:11" x14ac:dyDescent="0.2">
      <c r="A1" s="27"/>
      <c r="B1" s="28"/>
      <c r="C1" s="28"/>
      <c r="D1" s="28"/>
      <c r="E1" s="28"/>
      <c r="F1" s="28"/>
      <c r="G1" s="28"/>
      <c r="H1" s="28"/>
      <c r="I1" s="28"/>
      <c r="J1" s="28"/>
      <c r="K1" s="29"/>
    </row>
    <row r="2" spans="1:11" ht="15.75" customHeight="1" x14ac:dyDescent="0.3">
      <c r="A2" s="5"/>
      <c r="B2" s="342" t="s">
        <v>583</v>
      </c>
      <c r="C2" s="346"/>
      <c r="D2" s="346"/>
      <c r="E2" s="346"/>
      <c r="F2" s="346"/>
      <c r="G2" s="346"/>
      <c r="H2" s="346"/>
      <c r="I2" s="346"/>
      <c r="J2" s="346"/>
      <c r="K2" s="6"/>
    </row>
    <row r="3" spans="1:11" x14ac:dyDescent="0.2">
      <c r="A3" s="7"/>
      <c r="B3" s="8"/>
      <c r="C3" s="9"/>
      <c r="D3" s="8"/>
      <c r="E3" s="9"/>
      <c r="F3" s="10"/>
      <c r="G3" s="9"/>
      <c r="H3" s="10"/>
      <c r="I3" s="9"/>
      <c r="J3" s="10"/>
      <c r="K3" s="11"/>
    </row>
    <row r="4" spans="1:11" x14ac:dyDescent="0.2">
      <c r="A4" s="7"/>
      <c r="B4" s="344" t="s">
        <v>555</v>
      </c>
      <c r="C4" s="354"/>
      <c r="D4" s="354"/>
      <c r="E4" s="354"/>
      <c r="F4" s="354"/>
      <c r="G4" s="354"/>
      <c r="H4" s="354"/>
      <c r="I4" s="354"/>
      <c r="J4" s="354"/>
      <c r="K4" s="11"/>
    </row>
    <row r="5" spans="1:11" x14ac:dyDescent="0.2">
      <c r="A5" s="7"/>
      <c r="B5" s="354"/>
      <c r="C5" s="354"/>
      <c r="D5" s="354"/>
      <c r="E5" s="354"/>
      <c r="F5" s="354"/>
      <c r="G5" s="354"/>
      <c r="H5" s="354"/>
      <c r="I5" s="354"/>
      <c r="J5" s="354"/>
      <c r="K5" s="11"/>
    </row>
    <row r="6" spans="1:11" x14ac:dyDescent="0.2">
      <c r="A6" s="7"/>
      <c r="B6" s="354"/>
      <c r="C6" s="354"/>
      <c r="D6" s="354"/>
      <c r="E6" s="354"/>
      <c r="F6" s="354"/>
      <c r="G6" s="354"/>
      <c r="H6" s="354"/>
      <c r="I6" s="354"/>
      <c r="J6" s="354"/>
      <c r="K6" s="11"/>
    </row>
    <row r="7" spans="1:11" x14ac:dyDescent="0.2">
      <c r="A7" s="7"/>
      <c r="B7" s="354"/>
      <c r="C7" s="354"/>
      <c r="D7" s="354"/>
      <c r="E7" s="354"/>
      <c r="F7" s="354"/>
      <c r="G7" s="354"/>
      <c r="H7" s="354"/>
      <c r="I7" s="354"/>
      <c r="J7" s="354"/>
      <c r="K7" s="11"/>
    </row>
    <row r="8" spans="1:11" x14ac:dyDescent="0.2">
      <c r="A8" s="7"/>
      <c r="B8" s="354"/>
      <c r="C8" s="354"/>
      <c r="D8" s="354"/>
      <c r="E8" s="354"/>
      <c r="F8" s="354"/>
      <c r="G8" s="354"/>
      <c r="H8" s="354"/>
      <c r="I8" s="354"/>
      <c r="J8" s="354"/>
      <c r="K8" s="11"/>
    </row>
    <row r="9" spans="1:11" x14ac:dyDescent="0.2">
      <c r="A9" s="7"/>
      <c r="B9" s="354"/>
      <c r="C9" s="354"/>
      <c r="D9" s="354"/>
      <c r="E9" s="354"/>
      <c r="F9" s="354"/>
      <c r="G9" s="354"/>
      <c r="H9" s="354"/>
      <c r="I9" s="354"/>
      <c r="J9" s="354"/>
      <c r="K9" s="11"/>
    </row>
    <row r="10" spans="1:11" x14ac:dyDescent="0.2">
      <c r="A10" s="7"/>
      <c r="B10" s="237"/>
      <c r="C10" s="237"/>
      <c r="D10" s="237"/>
      <c r="E10" s="237"/>
      <c r="F10" s="237"/>
      <c r="G10" s="237"/>
      <c r="H10" s="237"/>
      <c r="I10" s="237"/>
      <c r="J10" s="237"/>
      <c r="K10" s="11"/>
    </row>
    <row r="11" spans="1:11" x14ac:dyDescent="0.2">
      <c r="A11" s="7"/>
      <c r="B11" s="89" t="s">
        <v>553</v>
      </c>
      <c r="C11" s="237"/>
      <c r="D11" s="237"/>
      <c r="E11" s="237"/>
      <c r="F11" s="237"/>
      <c r="G11" s="237"/>
      <c r="H11" s="237"/>
      <c r="I11" s="237"/>
      <c r="J11" s="237"/>
      <c r="K11" s="11"/>
    </row>
    <row r="12" spans="1:11" x14ac:dyDescent="0.2">
      <c r="A12" s="7"/>
      <c r="B12" s="89" t="s">
        <v>554</v>
      </c>
      <c r="C12" s="237"/>
      <c r="D12" s="237"/>
      <c r="E12" s="237"/>
      <c r="F12" s="237"/>
      <c r="G12" s="237"/>
      <c r="H12" s="237"/>
      <c r="I12" s="237"/>
      <c r="J12" s="237"/>
      <c r="K12" s="11"/>
    </row>
    <row r="13" spans="1:11" x14ac:dyDescent="0.2">
      <c r="A13" s="7"/>
      <c r="B13" s="89"/>
      <c r="C13" s="237"/>
      <c r="D13" s="237"/>
      <c r="E13" s="237"/>
      <c r="F13" s="237"/>
      <c r="G13" s="237"/>
      <c r="H13" s="237"/>
      <c r="I13" s="237"/>
      <c r="J13" s="237"/>
      <c r="K13" s="11"/>
    </row>
    <row r="14" spans="1:11" x14ac:dyDescent="0.2">
      <c r="A14" s="7"/>
      <c r="B14" s="44"/>
      <c r="C14" s="9"/>
      <c r="D14" s="8"/>
      <c r="E14" s="9"/>
      <c r="F14" s="10"/>
      <c r="G14" s="9"/>
      <c r="H14" s="10"/>
      <c r="I14" s="9"/>
      <c r="J14" s="10"/>
      <c r="K14" s="11"/>
    </row>
    <row r="15" spans="1:11" x14ac:dyDescent="0.2">
      <c r="A15" s="7"/>
      <c r="B15" s="8"/>
      <c r="C15" s="9"/>
      <c r="D15" s="8"/>
      <c r="E15" s="9"/>
      <c r="F15" s="43" t="s">
        <v>199</v>
      </c>
      <c r="G15" s="9"/>
      <c r="H15" s="43" t="s">
        <v>349</v>
      </c>
      <c r="I15" s="9"/>
      <c r="J15" s="43" t="s">
        <v>207</v>
      </c>
      <c r="K15" s="11"/>
    </row>
    <row r="16" spans="1:11" x14ac:dyDescent="0.2">
      <c r="A16" s="7"/>
      <c r="B16" s="13" t="s">
        <v>364</v>
      </c>
      <c r="C16" s="9"/>
      <c r="D16" s="13" t="s">
        <v>204</v>
      </c>
      <c r="E16" s="9"/>
      <c r="F16" s="14" t="s">
        <v>457</v>
      </c>
      <c r="G16" s="9"/>
      <c r="H16" s="14" t="s">
        <v>457</v>
      </c>
      <c r="I16" s="9"/>
      <c r="J16" s="14" t="s">
        <v>208</v>
      </c>
      <c r="K16" s="11"/>
    </row>
    <row r="17" spans="1:11" x14ac:dyDescent="0.2">
      <c r="A17" s="7"/>
      <c r="B17" s="120" t="s">
        <v>366</v>
      </c>
      <c r="C17" s="9"/>
      <c r="D17" s="9" t="s">
        <v>516</v>
      </c>
      <c r="E17" s="9"/>
      <c r="F17" s="40">
        <v>1.7849999999999999</v>
      </c>
      <c r="G17" s="9"/>
      <c r="H17" s="40">
        <v>1.7770999999999999</v>
      </c>
      <c r="I17" s="9"/>
      <c r="J17" s="35">
        <v>210</v>
      </c>
      <c r="K17" s="11"/>
    </row>
    <row r="18" spans="1:11" x14ac:dyDescent="0.2">
      <c r="A18" s="7"/>
      <c r="B18" s="121" t="s">
        <v>367</v>
      </c>
      <c r="C18" s="9"/>
      <c r="D18" s="9" t="s">
        <v>205</v>
      </c>
      <c r="E18" s="9"/>
      <c r="F18" s="40">
        <v>1.7464999999999999</v>
      </c>
      <c r="G18" s="9"/>
      <c r="H18" s="40">
        <v>1.7381</v>
      </c>
      <c r="I18" s="9"/>
      <c r="J18" s="35">
        <v>180</v>
      </c>
      <c r="K18" s="11"/>
    </row>
    <row r="19" spans="1:11" x14ac:dyDescent="0.2">
      <c r="A19" s="7"/>
      <c r="B19" s="9"/>
      <c r="C19" s="9"/>
      <c r="D19" s="69" t="s">
        <v>200</v>
      </c>
      <c r="E19" s="9"/>
      <c r="F19" s="122">
        <v>1000000</v>
      </c>
      <c r="G19" s="9"/>
      <c r="H19" s="16"/>
      <c r="I19" s="9"/>
      <c r="J19" s="35"/>
      <c r="K19" s="11"/>
    </row>
    <row r="20" spans="1:11" x14ac:dyDescent="0.2">
      <c r="A20" s="7"/>
      <c r="B20" s="121" t="s">
        <v>203</v>
      </c>
      <c r="C20" s="9"/>
      <c r="D20" s="9" t="s">
        <v>513</v>
      </c>
      <c r="E20" s="9"/>
      <c r="F20" s="40">
        <v>1.7688999999999999</v>
      </c>
      <c r="G20" s="9"/>
      <c r="H20" s="40">
        <v>1.7602</v>
      </c>
      <c r="I20" s="9"/>
      <c r="J20" s="35">
        <v>90</v>
      </c>
      <c r="K20" s="11"/>
    </row>
    <row r="21" spans="1:11" x14ac:dyDescent="0.2">
      <c r="A21" s="7"/>
      <c r="B21" s="120" t="s">
        <v>201</v>
      </c>
      <c r="C21" s="9"/>
      <c r="D21" s="9" t="s">
        <v>514</v>
      </c>
      <c r="E21" s="9"/>
      <c r="F21" s="40">
        <v>1.784</v>
      </c>
      <c r="G21" s="9"/>
      <c r="H21" s="40">
        <v>1.7810999999999999</v>
      </c>
      <c r="I21" s="9"/>
      <c r="J21" s="35">
        <v>30</v>
      </c>
      <c r="K21" s="11"/>
    </row>
    <row r="22" spans="1:11" x14ac:dyDescent="0.2">
      <c r="A22" s="7"/>
      <c r="B22" s="120" t="s">
        <v>202</v>
      </c>
      <c r="C22" s="9"/>
      <c r="D22" s="9" t="s">
        <v>206</v>
      </c>
      <c r="E22" s="9"/>
      <c r="F22" s="40">
        <v>1.7290000000000001</v>
      </c>
      <c r="G22" s="9"/>
      <c r="H22" s="123" t="s">
        <v>220</v>
      </c>
      <c r="I22" s="9"/>
      <c r="J22" s="123" t="s">
        <v>220</v>
      </c>
      <c r="K22" s="11"/>
    </row>
    <row r="23" spans="1:11" x14ac:dyDescent="0.2">
      <c r="A23" s="7"/>
      <c r="B23" s="120"/>
      <c r="C23" s="9"/>
      <c r="D23" s="9"/>
      <c r="E23" s="9"/>
      <c r="F23" s="40"/>
      <c r="G23" s="9"/>
      <c r="H23" s="40"/>
      <c r="I23" s="9"/>
      <c r="J23" s="35"/>
      <c r="K23" s="11"/>
    </row>
    <row r="24" spans="1:11" x14ac:dyDescent="0.2">
      <c r="A24" s="7"/>
      <c r="B24" s="13" t="s">
        <v>397</v>
      </c>
      <c r="C24" s="13"/>
      <c r="D24" s="13"/>
      <c r="E24" s="13"/>
      <c r="F24" s="124"/>
      <c r="G24" s="13"/>
      <c r="H24" s="124"/>
      <c r="I24" s="13"/>
      <c r="J24" s="125"/>
      <c r="K24" s="11"/>
    </row>
    <row r="25" spans="1:11" x14ac:dyDescent="0.2">
      <c r="A25" s="7"/>
      <c r="B25" s="9"/>
      <c r="C25" s="9"/>
      <c r="D25" s="9"/>
      <c r="E25" s="9"/>
      <c r="F25" s="40"/>
      <c r="G25" s="9"/>
      <c r="H25" s="17"/>
      <c r="I25" s="9"/>
      <c r="J25" s="17"/>
      <c r="K25" s="11"/>
    </row>
    <row r="26" spans="1:11" x14ac:dyDescent="0.2">
      <c r="A26" s="7"/>
      <c r="B26" s="9" t="s">
        <v>515</v>
      </c>
      <c r="C26" s="9"/>
      <c r="D26" s="9"/>
      <c r="E26" s="9"/>
      <c r="F26" s="16"/>
      <c r="G26" s="9"/>
      <c r="H26" s="16"/>
      <c r="I26" s="9"/>
      <c r="J26" s="16"/>
      <c r="K26" s="11"/>
    </row>
    <row r="27" spans="1:11" x14ac:dyDescent="0.2">
      <c r="A27" s="7"/>
      <c r="B27" s="9" t="s">
        <v>209</v>
      </c>
      <c r="C27" s="9"/>
      <c r="D27" s="9"/>
      <c r="E27" s="9"/>
      <c r="F27" s="16"/>
      <c r="G27" s="9"/>
      <c r="H27" s="16"/>
      <c r="I27" s="9"/>
      <c r="J27" s="16"/>
      <c r="K27" s="11"/>
    </row>
    <row r="28" spans="1:11" x14ac:dyDescent="0.2">
      <c r="A28" s="7"/>
      <c r="B28" s="9" t="s">
        <v>210</v>
      </c>
      <c r="C28" s="9"/>
      <c r="D28" s="9"/>
      <c r="E28" s="9"/>
      <c r="F28" s="40"/>
      <c r="G28" s="9"/>
      <c r="H28" s="40"/>
      <c r="I28" s="9"/>
      <c r="J28" s="40"/>
      <c r="K28" s="11"/>
    </row>
    <row r="29" spans="1:11" x14ac:dyDescent="0.2">
      <c r="A29" s="7"/>
      <c r="B29" s="9"/>
      <c r="C29" s="9"/>
      <c r="D29" s="9"/>
      <c r="E29" s="9"/>
      <c r="F29" s="9"/>
      <c r="G29" s="9"/>
      <c r="H29" s="9"/>
      <c r="I29" s="9"/>
      <c r="J29" s="9"/>
      <c r="K29" s="11"/>
    </row>
    <row r="30" spans="1:11" x14ac:dyDescent="0.2">
      <c r="A30" s="7"/>
      <c r="B30" s="9" t="s">
        <v>216</v>
      </c>
      <c r="C30" s="9"/>
      <c r="D30" s="9" t="s">
        <v>124</v>
      </c>
      <c r="E30" s="9"/>
      <c r="F30" s="73">
        <f>F19*F22</f>
        <v>1729000</v>
      </c>
      <c r="G30" s="9"/>
      <c r="H30" s="9"/>
      <c r="I30" s="9"/>
      <c r="J30" s="9"/>
      <c r="K30" s="11"/>
    </row>
    <row r="31" spans="1:11" x14ac:dyDescent="0.2">
      <c r="A31" s="7"/>
      <c r="B31" s="9" t="s">
        <v>217</v>
      </c>
      <c r="C31" s="9"/>
      <c r="D31" s="9" t="s">
        <v>125</v>
      </c>
      <c r="E31" s="9"/>
      <c r="F31" s="126">
        <f>F19*F20</f>
        <v>1768900</v>
      </c>
      <c r="G31" s="9"/>
      <c r="H31" s="9"/>
      <c r="I31" s="9"/>
      <c r="J31" s="9"/>
      <c r="K31" s="11"/>
    </row>
    <row r="32" spans="1:11" x14ac:dyDescent="0.2">
      <c r="A32" s="7"/>
      <c r="B32" s="9" t="s">
        <v>219</v>
      </c>
      <c r="C32" s="9"/>
      <c r="D32" s="9"/>
      <c r="E32" s="9"/>
      <c r="F32" s="195">
        <f>F30-F31</f>
        <v>-39900</v>
      </c>
      <c r="G32" s="9"/>
      <c r="H32" s="9"/>
      <c r="I32" s="9"/>
      <c r="J32" s="9"/>
      <c r="K32" s="11"/>
    </row>
    <row r="33" spans="1:11" x14ac:dyDescent="0.2">
      <c r="A33" s="7"/>
      <c r="B33" s="9"/>
      <c r="C33" s="9"/>
      <c r="D33" s="9"/>
      <c r="E33" s="9"/>
      <c r="F33" s="9"/>
      <c r="G33" s="9"/>
      <c r="H33" s="9"/>
      <c r="I33" s="9"/>
      <c r="J33" s="9"/>
      <c r="K33" s="11"/>
    </row>
    <row r="34" spans="1:11" x14ac:dyDescent="0.2">
      <c r="A34" s="7"/>
      <c r="B34" s="9" t="s">
        <v>517</v>
      </c>
      <c r="C34" s="9"/>
      <c r="D34" s="9"/>
      <c r="E34" s="9"/>
      <c r="F34" s="9"/>
      <c r="G34" s="9"/>
      <c r="H34" s="9"/>
      <c r="I34" s="9"/>
      <c r="J34" s="9"/>
      <c r="K34" s="11"/>
    </row>
    <row r="35" spans="1:11" x14ac:dyDescent="0.2">
      <c r="A35" s="7"/>
      <c r="B35" s="9" t="s">
        <v>211</v>
      </c>
      <c r="C35" s="9"/>
      <c r="D35" s="9"/>
      <c r="E35" s="9"/>
      <c r="F35" s="9"/>
      <c r="G35" s="9"/>
      <c r="H35" s="9"/>
      <c r="I35" s="9"/>
      <c r="J35" s="9"/>
      <c r="K35" s="11"/>
    </row>
    <row r="36" spans="1:11" x14ac:dyDescent="0.2">
      <c r="A36" s="7"/>
      <c r="B36" s="9" t="s">
        <v>212</v>
      </c>
      <c r="C36" s="9"/>
      <c r="D36" s="9"/>
      <c r="E36" s="9"/>
      <c r="F36" s="9"/>
      <c r="G36" s="9"/>
      <c r="H36" s="9"/>
      <c r="I36" s="9"/>
      <c r="J36" s="9"/>
      <c r="K36" s="11"/>
    </row>
    <row r="37" spans="1:11" x14ac:dyDescent="0.2">
      <c r="A37" s="7"/>
      <c r="B37" s="9"/>
      <c r="C37" s="9"/>
      <c r="D37" s="9"/>
      <c r="E37" s="9"/>
      <c r="F37" s="9"/>
      <c r="G37" s="9"/>
      <c r="H37" s="9"/>
      <c r="I37" s="9"/>
      <c r="J37" s="9"/>
      <c r="K37" s="11"/>
    </row>
    <row r="38" spans="1:11" x14ac:dyDescent="0.2">
      <c r="A38" s="7"/>
      <c r="B38" s="18" t="s">
        <v>213</v>
      </c>
      <c r="C38" s="9"/>
      <c r="D38" s="9"/>
      <c r="E38" s="9"/>
      <c r="F38" s="9"/>
      <c r="G38" s="9"/>
      <c r="H38" s="9"/>
      <c r="I38" s="9"/>
      <c r="J38" s="9"/>
      <c r="K38" s="11"/>
    </row>
    <row r="39" spans="1:11" x14ac:dyDescent="0.2">
      <c r="A39" s="7"/>
      <c r="B39" s="9" t="s">
        <v>218</v>
      </c>
      <c r="C39" s="9"/>
      <c r="D39" s="9" t="s">
        <v>126</v>
      </c>
      <c r="E39" s="9"/>
      <c r="F39" s="73">
        <f>F19*H20</f>
        <v>1760200</v>
      </c>
      <c r="G39" s="9"/>
      <c r="H39" s="9"/>
      <c r="I39" s="9"/>
      <c r="J39" s="9"/>
      <c r="K39" s="11"/>
    </row>
    <row r="40" spans="1:11" x14ac:dyDescent="0.2">
      <c r="A40" s="7"/>
      <c r="B40" s="9" t="s">
        <v>217</v>
      </c>
      <c r="C40" s="9"/>
      <c r="D40" s="9" t="s">
        <v>125</v>
      </c>
      <c r="E40" s="9"/>
      <c r="F40" s="126">
        <f>F19*F20</f>
        <v>1768900</v>
      </c>
      <c r="G40" s="9"/>
      <c r="H40" s="9"/>
      <c r="I40" s="9"/>
      <c r="J40" s="9"/>
      <c r="K40" s="11"/>
    </row>
    <row r="41" spans="1:11" x14ac:dyDescent="0.2">
      <c r="A41" s="7"/>
      <c r="B41" s="9" t="s">
        <v>219</v>
      </c>
      <c r="C41" s="9"/>
      <c r="D41" s="9"/>
      <c r="E41" s="9"/>
      <c r="F41" s="195">
        <f>F39-F40</f>
        <v>-8700</v>
      </c>
      <c r="G41" s="9"/>
      <c r="H41" s="9"/>
      <c r="I41" s="9"/>
      <c r="J41" s="9"/>
      <c r="K41" s="11"/>
    </row>
    <row r="42" spans="1:11" x14ac:dyDescent="0.2">
      <c r="A42" s="7"/>
      <c r="B42" s="9"/>
      <c r="C42" s="9"/>
      <c r="D42" s="9"/>
      <c r="E42" s="9"/>
      <c r="F42" s="9"/>
      <c r="G42" s="9"/>
      <c r="H42" s="9"/>
      <c r="I42" s="9"/>
      <c r="J42" s="9"/>
      <c r="K42" s="11"/>
    </row>
    <row r="43" spans="1:11" x14ac:dyDescent="0.2">
      <c r="A43" s="7"/>
      <c r="B43" s="9" t="s">
        <v>518</v>
      </c>
      <c r="C43" s="9"/>
      <c r="D43" s="9"/>
      <c r="E43" s="9"/>
      <c r="F43" s="9"/>
      <c r="G43" s="9"/>
      <c r="H43" s="9"/>
      <c r="I43" s="9"/>
      <c r="J43" s="9"/>
      <c r="K43" s="11"/>
    </row>
    <row r="44" spans="1:11" x14ac:dyDescent="0.2">
      <c r="A44" s="7"/>
      <c r="B44" s="9" t="s">
        <v>519</v>
      </c>
      <c r="C44" s="9"/>
      <c r="D44" s="9"/>
      <c r="E44" s="9"/>
      <c r="F44" s="9"/>
      <c r="G44" s="9"/>
      <c r="H44" s="9"/>
      <c r="I44" s="9"/>
      <c r="J44" s="9"/>
      <c r="K44" s="11"/>
    </row>
    <row r="45" spans="1:11" x14ac:dyDescent="0.2">
      <c r="A45" s="7"/>
      <c r="B45" s="9"/>
      <c r="C45" s="9"/>
      <c r="D45" s="9"/>
      <c r="E45" s="9"/>
      <c r="F45" s="9"/>
      <c r="G45" s="9"/>
      <c r="H45" s="9"/>
      <c r="I45" s="9"/>
      <c r="J45" s="9"/>
      <c r="K45" s="11"/>
    </row>
    <row r="46" spans="1:11" x14ac:dyDescent="0.2">
      <c r="A46" s="7"/>
      <c r="B46" s="18" t="s">
        <v>214</v>
      </c>
      <c r="C46" s="9"/>
      <c r="D46" s="9"/>
      <c r="E46" s="9"/>
      <c r="F46" s="9"/>
      <c r="G46" s="9"/>
      <c r="H46" s="9"/>
      <c r="I46" s="9"/>
      <c r="J46" s="9"/>
      <c r="K46" s="11"/>
    </row>
    <row r="47" spans="1:11" x14ac:dyDescent="0.2">
      <c r="A47" s="7"/>
      <c r="B47" s="9" t="s">
        <v>218</v>
      </c>
      <c r="C47" s="9"/>
      <c r="D47" s="9" t="s">
        <v>127</v>
      </c>
      <c r="E47" s="9"/>
      <c r="F47" s="73">
        <f>F19*H18</f>
        <v>1738100</v>
      </c>
      <c r="G47" s="9"/>
      <c r="H47" s="9"/>
      <c r="I47" s="9"/>
      <c r="J47" s="9"/>
      <c r="K47" s="11"/>
    </row>
    <row r="48" spans="1:11" x14ac:dyDescent="0.2">
      <c r="A48" s="7"/>
      <c r="B48" s="9" t="s">
        <v>217</v>
      </c>
      <c r="C48" s="9"/>
      <c r="D48" s="9" t="s">
        <v>125</v>
      </c>
      <c r="E48" s="9"/>
      <c r="F48" s="126">
        <f>F19*F20</f>
        <v>1768900</v>
      </c>
      <c r="G48" s="9"/>
      <c r="H48" s="9"/>
      <c r="I48" s="9"/>
      <c r="J48" s="9"/>
      <c r="K48" s="11"/>
    </row>
    <row r="49" spans="1:11" x14ac:dyDescent="0.2">
      <c r="A49" s="7"/>
      <c r="B49" s="9" t="s">
        <v>219</v>
      </c>
      <c r="C49" s="9"/>
      <c r="D49" s="9"/>
      <c r="E49" s="9"/>
      <c r="F49" s="195">
        <f>F47-F48</f>
        <v>-30800</v>
      </c>
      <c r="G49" s="9"/>
      <c r="H49" s="9"/>
      <c r="I49" s="9"/>
      <c r="J49" s="9"/>
      <c r="K49" s="11"/>
    </row>
    <row r="50" spans="1:11" x14ac:dyDescent="0.2">
      <c r="A50" s="7"/>
      <c r="B50" s="9"/>
      <c r="C50" s="9"/>
      <c r="D50" s="9"/>
      <c r="E50" s="9"/>
      <c r="F50" s="9"/>
      <c r="G50" s="9"/>
      <c r="H50" s="9"/>
      <c r="I50" s="9"/>
      <c r="J50" s="9"/>
      <c r="K50" s="11"/>
    </row>
    <row r="51" spans="1:11" x14ac:dyDescent="0.2">
      <c r="A51" s="7"/>
      <c r="B51" s="9" t="s">
        <v>520</v>
      </c>
      <c r="C51" s="9"/>
      <c r="D51" s="9"/>
      <c r="E51" s="9"/>
      <c r="F51" s="9"/>
      <c r="G51" s="9"/>
      <c r="H51" s="9"/>
      <c r="I51" s="9"/>
      <c r="J51" s="9"/>
      <c r="K51" s="11"/>
    </row>
    <row r="52" spans="1:11" x14ac:dyDescent="0.2">
      <c r="A52" s="7"/>
      <c r="B52" s="9" t="s">
        <v>221</v>
      </c>
      <c r="C52" s="9"/>
      <c r="D52" s="9"/>
      <c r="E52" s="9"/>
      <c r="F52" s="9"/>
      <c r="G52" s="9"/>
      <c r="H52" s="9"/>
      <c r="I52" s="9"/>
      <c r="J52" s="9"/>
      <c r="K52" s="11"/>
    </row>
    <row r="53" spans="1:11" x14ac:dyDescent="0.2">
      <c r="A53" s="7"/>
      <c r="B53" s="9" t="s">
        <v>215</v>
      </c>
      <c r="C53" s="9"/>
      <c r="D53" s="9"/>
      <c r="E53" s="9"/>
      <c r="F53" s="9"/>
      <c r="G53" s="9"/>
      <c r="H53" s="9"/>
      <c r="I53" s="9"/>
      <c r="J53" s="9"/>
      <c r="K53" s="11"/>
    </row>
    <row r="54" spans="1:11" ht="13.5" thickBot="1" x14ac:dyDescent="0.25">
      <c r="A54" s="24"/>
      <c r="B54" s="25"/>
      <c r="C54" s="25"/>
      <c r="D54" s="25"/>
      <c r="E54" s="25"/>
      <c r="F54" s="25"/>
      <c r="G54" s="25"/>
      <c r="H54" s="25"/>
      <c r="I54" s="25"/>
      <c r="J54" s="25"/>
      <c r="K54" s="26"/>
    </row>
  </sheetData>
  <mergeCells count="2">
    <mergeCell ref="B2:J2"/>
    <mergeCell ref="B4:J9"/>
  </mergeCells>
  <phoneticPr fontId="0" type="noConversion"/>
  <printOptions horizontalCentered="1"/>
  <pageMargins left="0.75" right="0.75" top="1" bottom="1" header="0.5" footer="0.5"/>
  <pageSetup scale="8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7"/>
  <sheetViews>
    <sheetView workbookViewId="0"/>
  </sheetViews>
  <sheetFormatPr defaultRowHeight="12.75" x14ac:dyDescent="0.2"/>
  <cols>
    <col min="1" max="1" width="2.83203125" customWidth="1"/>
    <col min="2" max="2" width="60.83203125" customWidth="1"/>
    <col min="3" max="3" width="2.83203125" customWidth="1"/>
    <col min="4" max="4" width="18.83203125" customWidth="1"/>
    <col min="5" max="5" width="2.83203125" customWidth="1"/>
    <col min="6" max="6" width="18.83203125" style="3" customWidth="1"/>
    <col min="7" max="7" width="2.83203125" customWidth="1"/>
  </cols>
  <sheetData>
    <row r="1" spans="1:7" x14ac:dyDescent="0.2">
      <c r="A1" s="59"/>
      <c r="B1" s="60"/>
      <c r="C1" s="60"/>
      <c r="D1" s="60"/>
      <c r="E1" s="60"/>
      <c r="F1" s="61"/>
      <c r="G1" s="62"/>
    </row>
    <row r="2" spans="1:7" ht="18.75" x14ac:dyDescent="0.3">
      <c r="A2" s="1"/>
      <c r="B2" s="342" t="s">
        <v>584</v>
      </c>
      <c r="C2" s="342"/>
      <c r="D2" s="342"/>
      <c r="E2" s="346"/>
      <c r="F2" s="346"/>
      <c r="G2" s="2"/>
    </row>
    <row r="3" spans="1:7" x14ac:dyDescent="0.2">
      <c r="A3" s="30"/>
      <c r="B3" s="8"/>
      <c r="C3" s="31"/>
      <c r="D3" s="31"/>
      <c r="E3" s="31"/>
      <c r="F3" s="32"/>
      <c r="G3" s="33"/>
    </row>
    <row r="4" spans="1:7" ht="12.75" customHeight="1" x14ac:dyDescent="0.2">
      <c r="A4" s="30"/>
      <c r="B4" s="355" t="s">
        <v>556</v>
      </c>
      <c r="C4" s="345"/>
      <c r="D4" s="345"/>
      <c r="E4" s="345"/>
      <c r="F4" s="345"/>
      <c r="G4" s="33"/>
    </row>
    <row r="5" spans="1:7" x14ac:dyDescent="0.2">
      <c r="A5" s="30"/>
      <c r="B5" s="345"/>
      <c r="C5" s="345"/>
      <c r="D5" s="345"/>
      <c r="E5" s="345"/>
      <c r="F5" s="345"/>
      <c r="G5" s="33"/>
    </row>
    <row r="6" spans="1:7" x14ac:dyDescent="0.2">
      <c r="A6" s="30"/>
      <c r="B6" s="345"/>
      <c r="C6" s="345"/>
      <c r="D6" s="345"/>
      <c r="E6" s="345"/>
      <c r="F6" s="345"/>
      <c r="G6" s="33"/>
    </row>
    <row r="7" spans="1:7" x14ac:dyDescent="0.2">
      <c r="A7" s="30"/>
      <c r="B7" s="345"/>
      <c r="C7" s="345"/>
      <c r="D7" s="345"/>
      <c r="E7" s="345"/>
      <c r="F7" s="345"/>
      <c r="G7" s="33"/>
    </row>
    <row r="8" spans="1:7" x14ac:dyDescent="0.2">
      <c r="A8" s="30"/>
      <c r="B8" s="8"/>
      <c r="C8" s="8"/>
      <c r="D8" s="8"/>
      <c r="E8" s="8"/>
      <c r="F8" s="8"/>
      <c r="G8" s="33"/>
    </row>
    <row r="9" spans="1:7" x14ac:dyDescent="0.2">
      <c r="A9" s="30"/>
      <c r="B9" s="353" t="s">
        <v>184</v>
      </c>
      <c r="C9" s="354"/>
      <c r="D9" s="354"/>
      <c r="E9" s="354"/>
      <c r="F9" s="354"/>
      <c r="G9" s="33"/>
    </row>
    <row r="10" spans="1:7" x14ac:dyDescent="0.2">
      <c r="A10" s="30"/>
      <c r="B10" s="354"/>
      <c r="C10" s="354"/>
      <c r="D10" s="354"/>
      <c r="E10" s="354"/>
      <c r="F10" s="354"/>
      <c r="G10" s="33"/>
    </row>
    <row r="11" spans="1:7" x14ac:dyDescent="0.2">
      <c r="A11" s="30"/>
      <c r="B11" s="354"/>
      <c r="C11" s="354"/>
      <c r="D11" s="354"/>
      <c r="E11" s="354"/>
      <c r="F11" s="354"/>
      <c r="G11" s="33"/>
    </row>
    <row r="12" spans="1:7" x14ac:dyDescent="0.2">
      <c r="A12" s="30"/>
      <c r="B12" s="354"/>
      <c r="C12" s="354"/>
      <c r="D12" s="354"/>
      <c r="E12" s="354"/>
      <c r="F12" s="354"/>
      <c r="G12" s="33"/>
    </row>
    <row r="13" spans="1:7" x14ac:dyDescent="0.2">
      <c r="A13" s="30"/>
      <c r="B13" s="31"/>
      <c r="C13" s="31"/>
      <c r="D13" s="31"/>
      <c r="E13" s="31"/>
      <c r="F13" s="32"/>
      <c r="G13" s="33"/>
    </row>
    <row r="14" spans="1:7" x14ac:dyDescent="0.2">
      <c r="A14" s="30"/>
      <c r="B14" s="13" t="s">
        <v>247</v>
      </c>
      <c r="C14" s="31"/>
      <c r="D14" s="14" t="s">
        <v>246</v>
      </c>
      <c r="E14" s="31"/>
      <c r="F14" s="34"/>
      <c r="G14" s="33"/>
    </row>
    <row r="15" spans="1:7" x14ac:dyDescent="0.2">
      <c r="A15" s="30"/>
      <c r="B15" s="9" t="s">
        <v>271</v>
      </c>
      <c r="C15" s="31"/>
      <c r="D15" s="85">
        <v>6000000</v>
      </c>
      <c r="E15" s="31"/>
      <c r="F15" s="36"/>
      <c r="G15" s="33"/>
    </row>
    <row r="16" spans="1:7" x14ac:dyDescent="0.2">
      <c r="A16" s="30"/>
      <c r="B16" s="9" t="s">
        <v>182</v>
      </c>
      <c r="C16" s="31"/>
      <c r="D16" s="96">
        <v>0.14000000000000001</v>
      </c>
      <c r="E16" s="31"/>
      <c r="F16" s="36"/>
      <c r="G16" s="33"/>
    </row>
    <row r="17" spans="1:7" x14ac:dyDescent="0.2">
      <c r="A17" s="30"/>
      <c r="B17" s="31" t="s">
        <v>276</v>
      </c>
      <c r="C17" s="31"/>
      <c r="D17" s="115">
        <v>10</v>
      </c>
      <c r="E17" s="31"/>
      <c r="F17" s="37"/>
      <c r="G17" s="33"/>
    </row>
    <row r="18" spans="1:7" x14ac:dyDescent="0.2">
      <c r="A18" s="30"/>
      <c r="B18" s="31" t="s">
        <v>277</v>
      </c>
      <c r="C18" s="31"/>
      <c r="D18" s="115">
        <v>10.4</v>
      </c>
      <c r="E18" s="31"/>
      <c r="F18" s="37"/>
      <c r="G18" s="33"/>
    </row>
    <row r="19" spans="1:7" x14ac:dyDescent="0.2">
      <c r="A19" s="30"/>
      <c r="B19" s="31"/>
      <c r="C19" s="31"/>
      <c r="D19" s="115"/>
      <c r="E19" s="31"/>
      <c r="F19" s="37"/>
      <c r="G19" s="33"/>
    </row>
    <row r="20" spans="1:7" x14ac:dyDescent="0.2">
      <c r="A20" s="30"/>
      <c r="B20" s="31" t="s">
        <v>279</v>
      </c>
      <c r="C20" s="31"/>
      <c r="D20" s="14" t="s">
        <v>280</v>
      </c>
      <c r="E20" s="31"/>
      <c r="F20" s="14" t="s">
        <v>281</v>
      </c>
      <c r="G20" s="33"/>
    </row>
    <row r="21" spans="1:7" x14ac:dyDescent="0.2">
      <c r="A21" s="30"/>
      <c r="B21" s="31" t="s">
        <v>278</v>
      </c>
      <c r="C21" s="31"/>
      <c r="D21" s="115">
        <v>10</v>
      </c>
      <c r="E21" s="31"/>
      <c r="F21" s="115">
        <v>10</v>
      </c>
      <c r="G21" s="33"/>
    </row>
    <row r="22" spans="1:7" x14ac:dyDescent="0.2">
      <c r="A22" s="30"/>
      <c r="B22" s="31" t="s">
        <v>282</v>
      </c>
      <c r="C22" s="31"/>
      <c r="D22" s="16">
        <v>0.02</v>
      </c>
      <c r="E22" s="31"/>
      <c r="F22" s="16">
        <v>0.03</v>
      </c>
      <c r="G22" s="33"/>
    </row>
    <row r="23" spans="1:7" x14ac:dyDescent="0.2">
      <c r="A23" s="30"/>
      <c r="B23" s="31"/>
      <c r="C23" s="31"/>
      <c r="D23" s="40"/>
      <c r="E23" s="31"/>
      <c r="F23" s="37"/>
      <c r="G23" s="33"/>
    </row>
    <row r="24" spans="1:7" x14ac:dyDescent="0.2">
      <c r="A24" s="30"/>
      <c r="B24" s="31"/>
      <c r="C24" s="31"/>
      <c r="D24" s="14" t="s">
        <v>272</v>
      </c>
      <c r="E24" s="31"/>
      <c r="F24" s="14" t="s">
        <v>273</v>
      </c>
      <c r="G24" s="33"/>
    </row>
    <row r="25" spans="1:7" x14ac:dyDescent="0.2">
      <c r="A25" s="30"/>
      <c r="B25" s="31" t="s">
        <v>274</v>
      </c>
      <c r="C25" s="31"/>
      <c r="D25" s="16">
        <v>0.06</v>
      </c>
      <c r="E25" s="31"/>
      <c r="F25" s="16">
        <v>0.08</v>
      </c>
      <c r="G25" s="33"/>
    </row>
    <row r="26" spans="1:7" x14ac:dyDescent="0.2">
      <c r="A26" s="30"/>
      <c r="B26" s="31" t="s">
        <v>275</v>
      </c>
      <c r="C26" s="31"/>
      <c r="D26" s="16">
        <v>0.05</v>
      </c>
      <c r="E26" s="31"/>
      <c r="F26" s="16">
        <v>7.0000000000000007E-2</v>
      </c>
      <c r="G26" s="33"/>
    </row>
    <row r="27" spans="1:7" x14ac:dyDescent="0.2">
      <c r="A27" s="30"/>
      <c r="B27" s="31"/>
      <c r="C27" s="31"/>
      <c r="D27" s="31"/>
      <c r="E27" s="31"/>
      <c r="F27" s="16"/>
      <c r="G27" s="33"/>
    </row>
    <row r="28" spans="1:7" x14ac:dyDescent="0.2">
      <c r="A28" s="30"/>
      <c r="B28" s="13" t="s">
        <v>283</v>
      </c>
      <c r="C28" s="31"/>
      <c r="D28" s="14" t="s">
        <v>246</v>
      </c>
      <c r="E28" s="31"/>
      <c r="F28" s="14" t="s">
        <v>304</v>
      </c>
      <c r="G28" s="33"/>
    </row>
    <row r="29" spans="1:7" x14ac:dyDescent="0.2">
      <c r="A29" s="30"/>
      <c r="B29" s="31"/>
      <c r="C29" s="31"/>
      <c r="D29" s="31"/>
      <c r="E29" s="31"/>
      <c r="F29" s="32"/>
      <c r="G29" s="33"/>
    </row>
    <row r="30" spans="1:7" x14ac:dyDescent="0.2">
      <c r="A30" s="30"/>
      <c r="B30" s="44" t="s">
        <v>284</v>
      </c>
      <c r="C30" s="31"/>
      <c r="D30" s="31"/>
      <c r="E30" s="31"/>
      <c r="F30" s="32"/>
      <c r="G30" s="33"/>
    </row>
    <row r="31" spans="1:7" x14ac:dyDescent="0.2">
      <c r="A31" s="30"/>
      <c r="B31" s="44" t="s">
        <v>285</v>
      </c>
      <c r="C31" s="31"/>
      <c r="D31" s="31"/>
      <c r="E31" s="31"/>
      <c r="F31" s="32"/>
      <c r="G31" s="33"/>
    </row>
    <row r="32" spans="1:7" x14ac:dyDescent="0.2">
      <c r="A32" s="30"/>
      <c r="B32" s="47" t="s">
        <v>286</v>
      </c>
      <c r="C32" s="31"/>
      <c r="D32" s="23">
        <f>D15</f>
        <v>6000000</v>
      </c>
      <c r="E32" s="31"/>
      <c r="F32" s="32"/>
      <c r="G32" s="33"/>
    </row>
    <row r="33" spans="1:7" x14ac:dyDescent="0.2">
      <c r="A33" s="30"/>
      <c r="B33" s="47" t="s">
        <v>35</v>
      </c>
      <c r="C33" s="31"/>
      <c r="D33" s="115">
        <v>10</v>
      </c>
      <c r="E33" s="31"/>
      <c r="F33" s="32"/>
      <c r="G33" s="33"/>
    </row>
    <row r="34" spans="1:7" x14ac:dyDescent="0.2">
      <c r="A34" s="30"/>
      <c r="B34" s="47" t="s">
        <v>287</v>
      </c>
      <c r="C34" s="31"/>
      <c r="D34" s="183">
        <f>D32/D33</f>
        <v>600000</v>
      </c>
      <c r="E34" s="31"/>
      <c r="F34" s="32" t="s">
        <v>288</v>
      </c>
      <c r="G34" s="33"/>
    </row>
    <row r="35" spans="1:7" x14ac:dyDescent="0.2">
      <c r="A35" s="30"/>
      <c r="B35" s="47"/>
      <c r="C35" s="31"/>
      <c r="D35" s="65"/>
      <c r="E35" s="31"/>
      <c r="F35" s="32"/>
      <c r="G35" s="33"/>
    </row>
    <row r="36" spans="1:7" x14ac:dyDescent="0.2">
      <c r="A36" s="30"/>
      <c r="B36" s="47" t="s">
        <v>286</v>
      </c>
      <c r="C36" s="31"/>
      <c r="D36" s="23">
        <f>D15</f>
        <v>6000000</v>
      </c>
      <c r="E36" s="31"/>
      <c r="F36" s="32"/>
      <c r="G36" s="33"/>
    </row>
    <row r="37" spans="1:7" x14ac:dyDescent="0.2">
      <c r="A37" s="30"/>
      <c r="B37" s="47" t="s">
        <v>36</v>
      </c>
      <c r="C37" s="31"/>
      <c r="D37" s="115">
        <f>D18</f>
        <v>10.4</v>
      </c>
      <c r="E37" s="31"/>
      <c r="F37" s="32"/>
      <c r="G37" s="33"/>
    </row>
    <row r="38" spans="1:7" x14ac:dyDescent="0.2">
      <c r="A38" s="30"/>
      <c r="B38" s="47" t="s">
        <v>287</v>
      </c>
      <c r="C38" s="31"/>
      <c r="D38" s="183">
        <f>D36/D37</f>
        <v>576923.07692307688</v>
      </c>
      <c r="E38" s="31"/>
      <c r="F38" s="32" t="s">
        <v>288</v>
      </c>
      <c r="G38" s="33"/>
    </row>
    <row r="39" spans="1:7" x14ac:dyDescent="0.2">
      <c r="A39" s="30"/>
      <c r="B39" s="31"/>
      <c r="C39" s="31"/>
      <c r="D39" s="31"/>
      <c r="E39" s="31"/>
      <c r="F39" s="32"/>
      <c r="G39" s="33"/>
    </row>
    <row r="40" spans="1:7" x14ac:dyDescent="0.2">
      <c r="A40" s="30"/>
      <c r="B40" s="70" t="s">
        <v>318</v>
      </c>
      <c r="C40" s="31"/>
      <c r="D40" s="31"/>
      <c r="E40" s="31"/>
      <c r="F40" s="32"/>
      <c r="G40" s="33"/>
    </row>
    <row r="41" spans="1:7" x14ac:dyDescent="0.2">
      <c r="A41" s="30"/>
      <c r="B41" s="70"/>
      <c r="C41" s="31"/>
      <c r="D41" s="31"/>
      <c r="E41" s="31"/>
      <c r="F41" s="32"/>
      <c r="G41" s="33"/>
    </row>
    <row r="42" spans="1:7" x14ac:dyDescent="0.2">
      <c r="A42" s="30"/>
      <c r="B42" s="47" t="s">
        <v>286</v>
      </c>
      <c r="C42" s="31"/>
      <c r="D42" s="23">
        <f>D15</f>
        <v>6000000</v>
      </c>
      <c r="E42" s="31"/>
      <c r="F42" s="32"/>
      <c r="G42" s="33"/>
    </row>
    <row r="43" spans="1:7" x14ac:dyDescent="0.2">
      <c r="A43" s="30"/>
      <c r="B43" s="47" t="s">
        <v>319</v>
      </c>
      <c r="C43" s="31"/>
      <c r="D43" s="115">
        <f>D18</f>
        <v>10.4</v>
      </c>
      <c r="E43" s="31"/>
      <c r="F43" s="32"/>
      <c r="G43" s="33"/>
    </row>
    <row r="44" spans="1:7" x14ac:dyDescent="0.2">
      <c r="A44" s="30"/>
      <c r="B44" s="47" t="s">
        <v>287</v>
      </c>
      <c r="C44" s="31"/>
      <c r="D44" s="183">
        <f>D42/D43</f>
        <v>576923.07692307688</v>
      </c>
      <c r="E44" s="31"/>
      <c r="F44" s="32" t="s">
        <v>289</v>
      </c>
      <c r="G44" s="33"/>
    </row>
    <row r="45" spans="1:7" x14ac:dyDescent="0.2">
      <c r="A45" s="30"/>
      <c r="B45" s="31"/>
      <c r="C45" s="31"/>
      <c r="D45" s="31"/>
      <c r="E45" s="31"/>
      <c r="F45" s="32"/>
      <c r="G45" s="33"/>
    </row>
    <row r="46" spans="1:7" x14ac:dyDescent="0.2">
      <c r="A46" s="30"/>
      <c r="B46" s="70" t="s">
        <v>305</v>
      </c>
      <c r="C46" s="31"/>
      <c r="D46" s="31"/>
      <c r="E46" s="31"/>
      <c r="F46" s="32"/>
      <c r="G46" s="33"/>
    </row>
    <row r="47" spans="1:7" x14ac:dyDescent="0.2">
      <c r="A47" s="30"/>
      <c r="B47" s="47" t="s">
        <v>286</v>
      </c>
      <c r="C47" s="31"/>
      <c r="D47" s="48">
        <f>D15</f>
        <v>6000000</v>
      </c>
      <c r="E47" s="31"/>
      <c r="F47" s="32"/>
      <c r="G47" s="33"/>
    </row>
    <row r="48" spans="1:7" x14ac:dyDescent="0.2">
      <c r="A48" s="30"/>
      <c r="B48" s="47" t="s">
        <v>290</v>
      </c>
      <c r="C48" s="31"/>
      <c r="D48" s="116">
        <f>1+(F26/2)</f>
        <v>1.0349999999999999</v>
      </c>
      <c r="E48" s="31"/>
      <c r="F48" s="32"/>
      <c r="G48" s="33"/>
    </row>
    <row r="49" spans="1:7" x14ac:dyDescent="0.2">
      <c r="A49" s="30"/>
      <c r="B49" s="47" t="s">
        <v>291</v>
      </c>
      <c r="C49" s="31"/>
      <c r="D49" s="48">
        <f>D47/D48</f>
        <v>5797101.4492753623</v>
      </c>
      <c r="E49" s="31"/>
      <c r="F49" s="32"/>
      <c r="G49" s="33"/>
    </row>
    <row r="50" spans="1:7" x14ac:dyDescent="0.2">
      <c r="A50" s="30"/>
      <c r="B50" s="47" t="s">
        <v>292</v>
      </c>
      <c r="C50" s="31"/>
      <c r="D50" s="48">
        <f>D17</f>
        <v>10</v>
      </c>
      <c r="E50" s="31"/>
      <c r="F50" s="32"/>
      <c r="G50" s="33"/>
    </row>
    <row r="51" spans="1:7" x14ac:dyDescent="0.2">
      <c r="A51" s="30"/>
      <c r="B51" s="47" t="s">
        <v>293</v>
      </c>
      <c r="C51" s="31"/>
      <c r="D51" s="46">
        <f>D49/D50</f>
        <v>579710.14492753625</v>
      </c>
      <c r="E51" s="31"/>
      <c r="F51" s="32"/>
      <c r="G51" s="33"/>
    </row>
    <row r="52" spans="1:7" x14ac:dyDescent="0.2">
      <c r="A52" s="30"/>
      <c r="B52" s="47" t="s">
        <v>294</v>
      </c>
      <c r="C52" s="31"/>
      <c r="D52" s="117">
        <f>1+(D16/2)</f>
        <v>1.07</v>
      </c>
      <c r="E52" s="31"/>
      <c r="F52" s="32"/>
      <c r="G52" s="33"/>
    </row>
    <row r="53" spans="1:7" x14ac:dyDescent="0.2">
      <c r="A53" s="30"/>
      <c r="B53" s="47" t="s">
        <v>295</v>
      </c>
      <c r="C53" s="31"/>
      <c r="D53" s="183">
        <f>D51*D52</f>
        <v>620289.85507246386</v>
      </c>
      <c r="E53" s="31"/>
      <c r="F53" s="32" t="s">
        <v>289</v>
      </c>
      <c r="G53" s="33"/>
    </row>
    <row r="54" spans="1:7" x14ac:dyDescent="0.2">
      <c r="A54" s="30"/>
      <c r="B54" s="31"/>
      <c r="C54" s="31"/>
      <c r="D54" s="31"/>
      <c r="E54" s="31"/>
      <c r="F54" s="32"/>
      <c r="G54" s="33"/>
    </row>
    <row r="55" spans="1:7" x14ac:dyDescent="0.2">
      <c r="A55" s="30"/>
      <c r="B55" s="70" t="s">
        <v>296</v>
      </c>
      <c r="C55" s="31"/>
      <c r="D55" s="31"/>
      <c r="E55" s="31"/>
      <c r="F55" s="32"/>
      <c r="G55" s="33"/>
    </row>
    <row r="56" spans="1:7" x14ac:dyDescent="0.2">
      <c r="A56" s="30"/>
      <c r="B56" s="47" t="s">
        <v>298</v>
      </c>
      <c r="C56" s="31"/>
      <c r="D56" s="48">
        <f>D15</f>
        <v>6000000</v>
      </c>
      <c r="E56" s="31"/>
      <c r="F56" s="32"/>
      <c r="G56" s="33"/>
    </row>
    <row r="57" spans="1:7" x14ac:dyDescent="0.2">
      <c r="A57" s="30"/>
      <c r="B57" s="47" t="s">
        <v>299</v>
      </c>
      <c r="C57" s="31"/>
      <c r="D57" s="22">
        <f>D17</f>
        <v>10</v>
      </c>
      <c r="E57" s="31"/>
      <c r="F57" s="32"/>
      <c r="G57" s="33"/>
    </row>
    <row r="58" spans="1:7" x14ac:dyDescent="0.2">
      <c r="A58" s="30"/>
      <c r="B58" s="47" t="s">
        <v>297</v>
      </c>
      <c r="C58" s="31"/>
      <c r="D58" s="118">
        <f>D22</f>
        <v>0.02</v>
      </c>
      <c r="E58" s="31"/>
      <c r="F58" s="32"/>
      <c r="G58" s="33"/>
    </row>
    <row r="59" spans="1:7" x14ac:dyDescent="0.2">
      <c r="A59" s="30"/>
      <c r="B59" s="47" t="s">
        <v>300</v>
      </c>
      <c r="C59" s="31"/>
      <c r="D59" s="46">
        <f>(D56/D57)*D58</f>
        <v>12000</v>
      </c>
      <c r="E59" s="31"/>
      <c r="F59" s="32"/>
      <c r="G59" s="33"/>
    </row>
    <row r="60" spans="1:7" x14ac:dyDescent="0.2">
      <c r="A60" s="30"/>
      <c r="B60" s="31"/>
      <c r="C60" s="31"/>
      <c r="D60" s="31"/>
      <c r="E60" s="31"/>
      <c r="F60" s="32"/>
      <c r="G60" s="33"/>
    </row>
    <row r="61" spans="1:7" x14ac:dyDescent="0.2">
      <c r="A61" s="30"/>
      <c r="B61" s="47" t="s">
        <v>306</v>
      </c>
      <c r="C61" s="31"/>
      <c r="D61" s="46">
        <f>D56/D21</f>
        <v>600000</v>
      </c>
      <c r="E61" s="31"/>
      <c r="F61" s="32"/>
      <c r="G61" s="33"/>
    </row>
    <row r="62" spans="1:7" x14ac:dyDescent="0.2">
      <c r="A62" s="30"/>
      <c r="B62" s="47" t="s">
        <v>302</v>
      </c>
      <c r="C62" s="31"/>
      <c r="D62" s="119">
        <f>D59*(1+(D16/2))</f>
        <v>12840</v>
      </c>
      <c r="E62" s="31"/>
      <c r="F62" s="32"/>
      <c r="G62" s="33"/>
    </row>
    <row r="63" spans="1:7" x14ac:dyDescent="0.2">
      <c r="A63" s="30"/>
      <c r="B63" s="47" t="s">
        <v>301</v>
      </c>
      <c r="C63" s="31"/>
      <c r="D63" s="183">
        <f>D61+D62</f>
        <v>612840</v>
      </c>
      <c r="E63" s="31"/>
      <c r="F63" s="32" t="s">
        <v>303</v>
      </c>
      <c r="G63" s="33"/>
    </row>
    <row r="64" spans="1:7" x14ac:dyDescent="0.2">
      <c r="A64" s="30"/>
      <c r="B64" s="31"/>
      <c r="C64" s="31"/>
      <c r="D64" s="31"/>
      <c r="E64" s="31"/>
      <c r="F64" s="32"/>
      <c r="G64" s="33"/>
    </row>
    <row r="65" spans="1:7" x14ac:dyDescent="0.2">
      <c r="A65" s="30"/>
      <c r="B65" s="366" t="s">
        <v>183</v>
      </c>
      <c r="C65" s="354"/>
      <c r="D65" s="354"/>
      <c r="E65" s="354"/>
      <c r="F65" s="354"/>
      <c r="G65" s="33"/>
    </row>
    <row r="66" spans="1:7" x14ac:dyDescent="0.2">
      <c r="A66" s="30"/>
      <c r="B66" s="354"/>
      <c r="C66" s="354"/>
      <c r="D66" s="354"/>
      <c r="E66" s="354"/>
      <c r="F66" s="354"/>
      <c r="G66" s="33"/>
    </row>
    <row r="67" spans="1:7" ht="13.5" thickBot="1" x14ac:dyDescent="0.25">
      <c r="A67" s="55"/>
      <c r="B67" s="56"/>
      <c r="C67" s="56"/>
      <c r="D67" s="56"/>
      <c r="E67" s="56"/>
      <c r="F67" s="57"/>
      <c r="G67" s="58"/>
    </row>
  </sheetData>
  <mergeCells count="4">
    <mergeCell ref="B2:F2"/>
    <mergeCell ref="B65:F66"/>
    <mergeCell ref="B9:F12"/>
    <mergeCell ref="B4:F7"/>
  </mergeCells>
  <phoneticPr fontId="0" type="noConversion"/>
  <printOptions horizontalCentered="1"/>
  <pageMargins left="0.75" right="0.75" top="1" bottom="1" header="0.5" footer="0.5"/>
  <pageSetup scale="74" orientation="portrait" r:id="rId1"/>
  <headerFooter alignWithMargins="0"/>
  <ignoredErrors>
    <ignoredError sqref="D50"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workbookViewId="0"/>
  </sheetViews>
  <sheetFormatPr defaultColWidth="9.33203125" defaultRowHeight="12.75" x14ac:dyDescent="0.2"/>
  <cols>
    <col min="1" max="1" width="3.1640625" style="4" customWidth="1"/>
    <col min="2" max="2" width="63.83203125" style="4" customWidth="1"/>
    <col min="3" max="3" width="3.1640625" style="4" customWidth="1"/>
    <col min="4" max="4" width="18.83203125" style="4" customWidth="1"/>
    <col min="5" max="5" width="3.1640625" style="4" customWidth="1"/>
    <col min="6" max="6" width="18.83203125" style="4" customWidth="1"/>
    <col min="7" max="7" width="2.83203125" style="4" customWidth="1"/>
    <col min="8" max="16384" width="9.33203125" style="4"/>
  </cols>
  <sheetData>
    <row r="1" spans="1:7" x14ac:dyDescent="0.2">
      <c r="A1" s="27"/>
      <c r="B1" s="28"/>
      <c r="C1" s="28"/>
      <c r="D1" s="28"/>
      <c r="E1" s="28"/>
      <c r="F1" s="28"/>
      <c r="G1" s="29"/>
    </row>
    <row r="2" spans="1:7" ht="15.75" customHeight="1" x14ac:dyDescent="0.3">
      <c r="A2" s="5"/>
      <c r="B2" s="342" t="s">
        <v>585</v>
      </c>
      <c r="C2" s="346"/>
      <c r="D2" s="346"/>
      <c r="E2" s="346"/>
      <c r="F2" s="346"/>
      <c r="G2" s="6"/>
    </row>
    <row r="3" spans="1:7" x14ac:dyDescent="0.2">
      <c r="A3" s="7"/>
      <c r="B3" s="8"/>
      <c r="C3" s="9"/>
      <c r="D3" s="10"/>
      <c r="E3" s="9"/>
      <c r="F3" s="10"/>
      <c r="G3" s="11"/>
    </row>
    <row r="4" spans="1:7" x14ac:dyDescent="0.2">
      <c r="A4" s="7"/>
      <c r="B4" s="344" t="s">
        <v>586</v>
      </c>
      <c r="C4" s="354"/>
      <c r="D4" s="354"/>
      <c r="E4" s="354"/>
      <c r="F4" s="354"/>
      <c r="G4" s="11"/>
    </row>
    <row r="5" spans="1:7" x14ac:dyDescent="0.2">
      <c r="A5" s="7"/>
      <c r="B5" s="354"/>
      <c r="C5" s="354"/>
      <c r="D5" s="354"/>
      <c r="E5" s="354"/>
      <c r="F5" s="354"/>
      <c r="G5" s="11"/>
    </row>
    <row r="6" spans="1:7" x14ac:dyDescent="0.2">
      <c r="A6" s="7"/>
      <c r="B6" s="354"/>
      <c r="C6" s="354"/>
      <c r="D6" s="354"/>
      <c r="E6" s="354"/>
      <c r="F6" s="354"/>
      <c r="G6" s="11"/>
    </row>
    <row r="7" spans="1:7" x14ac:dyDescent="0.2">
      <c r="A7" s="7"/>
      <c r="B7" s="354"/>
      <c r="C7" s="354"/>
      <c r="D7" s="354"/>
      <c r="E7" s="354"/>
      <c r="F7" s="354"/>
      <c r="G7" s="11"/>
    </row>
    <row r="8" spans="1:7" x14ac:dyDescent="0.2">
      <c r="A8" s="7"/>
      <c r="B8" s="354"/>
      <c r="C8" s="354"/>
      <c r="D8" s="354"/>
      <c r="E8" s="354"/>
      <c r="F8" s="354"/>
      <c r="G8" s="11"/>
    </row>
    <row r="9" spans="1:7" x14ac:dyDescent="0.2">
      <c r="A9" s="7"/>
      <c r="B9" s="8"/>
      <c r="C9" s="9"/>
      <c r="D9" s="10"/>
      <c r="E9" s="9"/>
      <c r="F9" s="10"/>
      <c r="G9" s="11"/>
    </row>
    <row r="10" spans="1:7" x14ac:dyDescent="0.2">
      <c r="A10" s="7"/>
      <c r="B10" s="13" t="s">
        <v>247</v>
      </c>
      <c r="C10" s="9"/>
      <c r="D10" s="14" t="s">
        <v>389</v>
      </c>
      <c r="E10" s="9"/>
      <c r="F10" s="40"/>
      <c r="G10" s="11"/>
    </row>
    <row r="11" spans="1:7" x14ac:dyDescent="0.2">
      <c r="A11" s="7"/>
      <c r="B11" s="9" t="s">
        <v>97</v>
      </c>
      <c r="C11" s="9"/>
      <c r="D11" s="135">
        <v>3000000</v>
      </c>
      <c r="E11" s="9"/>
      <c r="F11" s="85"/>
      <c r="G11" s="11"/>
    </row>
    <row r="12" spans="1:7" x14ac:dyDescent="0.2">
      <c r="A12" s="7"/>
      <c r="B12" s="9" t="s">
        <v>158</v>
      </c>
      <c r="C12" s="9"/>
      <c r="D12" s="134">
        <v>1.762</v>
      </c>
      <c r="E12" s="9"/>
      <c r="F12" s="40"/>
      <c r="G12" s="11"/>
    </row>
    <row r="13" spans="1:7" x14ac:dyDescent="0.2">
      <c r="A13" s="7"/>
      <c r="B13" s="9" t="s">
        <v>159</v>
      </c>
      <c r="C13" s="9"/>
      <c r="D13" s="134">
        <v>1.7549999999999999</v>
      </c>
      <c r="E13" s="9"/>
      <c r="F13" s="40"/>
      <c r="G13" s="11"/>
    </row>
    <row r="14" spans="1:7" x14ac:dyDescent="0.2">
      <c r="A14" s="7"/>
      <c r="B14" s="9" t="s">
        <v>98</v>
      </c>
      <c r="C14" s="9"/>
      <c r="D14" s="16">
        <v>0.06</v>
      </c>
      <c r="E14" s="9"/>
      <c r="F14" s="16"/>
      <c r="G14" s="11"/>
    </row>
    <row r="15" spans="1:7" x14ac:dyDescent="0.2">
      <c r="A15" s="7"/>
      <c r="B15" s="9" t="s">
        <v>99</v>
      </c>
      <c r="C15" s="9"/>
      <c r="D15" s="16">
        <v>0.08</v>
      </c>
      <c r="E15" s="9"/>
      <c r="F15" s="16"/>
      <c r="G15" s="11"/>
    </row>
    <row r="16" spans="1:7" x14ac:dyDescent="0.2">
      <c r="A16" s="7"/>
      <c r="B16" s="9" t="s">
        <v>101</v>
      </c>
      <c r="C16" s="9"/>
      <c r="D16" s="16">
        <v>0.08</v>
      </c>
      <c r="E16" s="9"/>
      <c r="F16" s="16"/>
      <c r="G16" s="11"/>
    </row>
    <row r="17" spans="1:7" x14ac:dyDescent="0.2">
      <c r="A17" s="7"/>
      <c r="B17" s="9" t="s">
        <v>100</v>
      </c>
      <c r="C17" s="9"/>
      <c r="D17" s="16">
        <v>0.14000000000000001</v>
      </c>
      <c r="E17" s="9"/>
      <c r="F17" s="16"/>
      <c r="G17" s="11"/>
    </row>
    <row r="18" spans="1:7" x14ac:dyDescent="0.2">
      <c r="A18" s="7"/>
      <c r="B18" s="9" t="s">
        <v>160</v>
      </c>
      <c r="C18" s="9"/>
      <c r="E18" s="9"/>
      <c r="G18" s="11"/>
    </row>
    <row r="19" spans="1:7" x14ac:dyDescent="0.2">
      <c r="A19" s="7"/>
      <c r="B19" s="9" t="s">
        <v>542</v>
      </c>
      <c r="C19" s="9"/>
      <c r="D19" s="136">
        <v>1.75</v>
      </c>
      <c r="E19" s="9"/>
      <c r="F19" s="136"/>
      <c r="G19" s="11"/>
    </row>
    <row r="20" spans="1:7" x14ac:dyDescent="0.2">
      <c r="A20" s="7"/>
      <c r="B20" s="9" t="s">
        <v>543</v>
      </c>
      <c r="C20" s="9"/>
      <c r="D20" s="16">
        <v>1.4999999999999999E-2</v>
      </c>
      <c r="E20" s="9"/>
      <c r="G20" s="11"/>
    </row>
    <row r="21" spans="1:7" x14ac:dyDescent="0.2">
      <c r="A21" s="7"/>
      <c r="B21" s="9" t="s">
        <v>542</v>
      </c>
      <c r="C21" s="9"/>
      <c r="D21" s="136">
        <v>1.71</v>
      </c>
      <c r="E21" s="9"/>
      <c r="F21" s="16"/>
      <c r="G21" s="11"/>
    </row>
    <row r="22" spans="1:7" x14ac:dyDescent="0.2">
      <c r="A22" s="7"/>
      <c r="B22" s="9" t="s">
        <v>543</v>
      </c>
      <c r="C22" s="9"/>
      <c r="D22" s="16">
        <v>0.01</v>
      </c>
      <c r="E22" s="9"/>
      <c r="F22" s="16"/>
      <c r="G22" s="11"/>
    </row>
    <row r="23" spans="1:7" x14ac:dyDescent="0.2">
      <c r="A23" s="7"/>
      <c r="B23" s="232" t="s">
        <v>587</v>
      </c>
      <c r="C23" s="9"/>
      <c r="D23" s="16">
        <v>0.12</v>
      </c>
      <c r="E23" s="9"/>
      <c r="F23" s="16"/>
      <c r="G23" s="11"/>
    </row>
    <row r="24" spans="1:7" x14ac:dyDescent="0.2">
      <c r="A24" s="7"/>
      <c r="B24" s="9" t="s">
        <v>19</v>
      </c>
      <c r="C24" s="9"/>
      <c r="D24" s="134">
        <v>1.7849999999999999</v>
      </c>
      <c r="E24" s="9"/>
      <c r="F24" s="40"/>
      <c r="G24" s="11"/>
    </row>
    <row r="25" spans="1:7" x14ac:dyDescent="0.2">
      <c r="A25" s="7"/>
      <c r="B25" s="9"/>
      <c r="C25" s="9"/>
      <c r="D25" s="9"/>
      <c r="E25" s="9"/>
      <c r="F25" s="9"/>
      <c r="G25" s="11"/>
    </row>
    <row r="26" spans="1:7" x14ac:dyDescent="0.2">
      <c r="A26" s="7"/>
      <c r="B26" s="13" t="s">
        <v>102</v>
      </c>
      <c r="C26" s="13"/>
      <c r="D26" s="14" t="s">
        <v>222</v>
      </c>
      <c r="E26" s="13"/>
      <c r="F26" s="14" t="s">
        <v>223</v>
      </c>
      <c r="G26" s="11"/>
    </row>
    <row r="27" spans="1:7" x14ac:dyDescent="0.2">
      <c r="A27" s="7"/>
      <c r="B27" s="9" t="s">
        <v>80</v>
      </c>
      <c r="C27" s="9"/>
      <c r="D27" s="9"/>
      <c r="E27" s="9"/>
      <c r="F27" s="9"/>
      <c r="G27" s="11"/>
    </row>
    <row r="28" spans="1:7" x14ac:dyDescent="0.2">
      <c r="A28" s="7"/>
      <c r="B28" s="45" t="s">
        <v>24</v>
      </c>
      <c r="C28" s="9"/>
      <c r="D28" s="132">
        <f>D12</f>
        <v>1.762</v>
      </c>
      <c r="E28" s="9"/>
      <c r="F28" s="184">
        <f>D11*D28</f>
        <v>5286000</v>
      </c>
      <c r="G28" s="11"/>
    </row>
    <row r="29" spans="1:7" x14ac:dyDescent="0.2">
      <c r="A29" s="7"/>
      <c r="B29" s="45" t="s">
        <v>105</v>
      </c>
      <c r="C29" s="9"/>
      <c r="D29" s="132">
        <f>D13</f>
        <v>1.7549999999999999</v>
      </c>
      <c r="E29" s="9"/>
      <c r="F29" s="184">
        <f>D11*D29</f>
        <v>5265000</v>
      </c>
      <c r="G29" s="11"/>
    </row>
    <row r="30" spans="1:7" x14ac:dyDescent="0.2">
      <c r="A30" s="7"/>
      <c r="B30" s="45" t="s">
        <v>128</v>
      </c>
      <c r="C30" s="9"/>
      <c r="D30" s="132">
        <f>D24</f>
        <v>1.7849999999999999</v>
      </c>
      <c r="E30" s="9"/>
      <c r="F30" s="184">
        <f>D11*D30</f>
        <v>5355000</v>
      </c>
      <c r="G30" s="11"/>
    </row>
    <row r="31" spans="1:7" x14ac:dyDescent="0.2">
      <c r="A31" s="7"/>
      <c r="B31" s="9"/>
      <c r="C31" s="9"/>
      <c r="D31" s="9"/>
      <c r="E31" s="9"/>
      <c r="F31" s="9"/>
      <c r="G31" s="11"/>
    </row>
    <row r="32" spans="1:7" x14ac:dyDescent="0.2">
      <c r="A32" s="7"/>
      <c r="B32" s="13" t="s">
        <v>103</v>
      </c>
      <c r="C32" s="13"/>
      <c r="D32" s="14" t="s">
        <v>222</v>
      </c>
      <c r="E32" s="13"/>
      <c r="F32" s="14" t="s">
        <v>223</v>
      </c>
      <c r="G32" s="11"/>
    </row>
    <row r="33" spans="1:7" x14ac:dyDescent="0.2">
      <c r="A33" s="7"/>
      <c r="B33" s="9" t="s">
        <v>142</v>
      </c>
      <c r="C33" s="9"/>
      <c r="D33" s="9"/>
      <c r="E33" s="9"/>
      <c r="F33" s="9"/>
      <c r="G33" s="11"/>
    </row>
    <row r="34" spans="1:7" x14ac:dyDescent="0.2">
      <c r="A34" s="7"/>
      <c r="B34" s="45" t="s">
        <v>143</v>
      </c>
      <c r="C34" s="9"/>
      <c r="D34" s="132">
        <f>D13</f>
        <v>1.7549999999999999</v>
      </c>
      <c r="E34" s="9"/>
      <c r="F34" s="184">
        <f>D11*D13</f>
        <v>5265000</v>
      </c>
      <c r="G34" s="11"/>
    </row>
    <row r="35" spans="1:7" x14ac:dyDescent="0.2">
      <c r="A35" s="7"/>
      <c r="B35" s="9"/>
      <c r="C35" s="9"/>
      <c r="D35" s="9"/>
      <c r="E35" s="9"/>
      <c r="F35" s="9"/>
      <c r="G35" s="11"/>
    </row>
    <row r="36" spans="1:7" x14ac:dyDescent="0.2">
      <c r="A36" s="7"/>
      <c r="B36" s="13" t="s">
        <v>104</v>
      </c>
      <c r="C36" s="13"/>
      <c r="D36" s="14" t="s">
        <v>222</v>
      </c>
      <c r="E36" s="13"/>
      <c r="F36" s="14" t="s">
        <v>223</v>
      </c>
      <c r="G36" s="11"/>
    </row>
    <row r="37" spans="1:7" x14ac:dyDescent="0.2">
      <c r="A37" s="7"/>
      <c r="B37" s="45" t="s">
        <v>185</v>
      </c>
      <c r="C37" s="9"/>
      <c r="D37" s="9"/>
      <c r="E37" s="9"/>
      <c r="F37" s="9"/>
      <c r="G37" s="11"/>
    </row>
    <row r="38" spans="1:7" x14ac:dyDescent="0.2">
      <c r="A38" s="7"/>
      <c r="B38" s="45" t="s">
        <v>144</v>
      </c>
      <c r="C38" s="9"/>
      <c r="D38" s="9"/>
      <c r="E38" s="9"/>
      <c r="F38" s="133">
        <f>D11</f>
        <v>3000000</v>
      </c>
      <c r="G38" s="11"/>
    </row>
    <row r="39" spans="1:7" x14ac:dyDescent="0.2">
      <c r="A39" s="7"/>
      <c r="B39" s="45" t="s">
        <v>145</v>
      </c>
      <c r="C39" s="9"/>
      <c r="D39" s="9"/>
      <c r="E39" s="9"/>
      <c r="F39" s="21">
        <f>1/(1+D17*90/360)</f>
        <v>0.96618357487922713</v>
      </c>
      <c r="G39" s="11"/>
    </row>
    <row r="40" spans="1:7" x14ac:dyDescent="0.2">
      <c r="A40" s="7"/>
      <c r="B40" s="45" t="s">
        <v>146</v>
      </c>
      <c r="C40" s="9"/>
      <c r="D40" s="9"/>
      <c r="E40" s="9"/>
      <c r="F40" s="133">
        <f>F38*F39</f>
        <v>2898550.7246376812</v>
      </c>
      <c r="G40" s="11"/>
    </row>
    <row r="41" spans="1:7" x14ac:dyDescent="0.2">
      <c r="A41" s="7"/>
      <c r="B41" s="45" t="s">
        <v>147</v>
      </c>
      <c r="C41" s="9"/>
      <c r="D41" s="132">
        <f>D12</f>
        <v>1.762</v>
      </c>
      <c r="E41" s="9"/>
      <c r="F41" s="21"/>
      <c r="G41" s="11"/>
    </row>
    <row r="42" spans="1:7" x14ac:dyDescent="0.2">
      <c r="A42" s="7"/>
      <c r="B42" s="45" t="s">
        <v>148</v>
      </c>
      <c r="C42" s="9"/>
      <c r="D42" s="9"/>
      <c r="E42" s="9"/>
      <c r="F42" s="79">
        <f>F40*D41</f>
        <v>5107246.3768115938</v>
      </c>
      <c r="G42" s="11"/>
    </row>
    <row r="43" spans="1:7" x14ac:dyDescent="0.2">
      <c r="A43" s="7"/>
      <c r="B43" s="127" t="s">
        <v>149</v>
      </c>
      <c r="C43" s="9"/>
      <c r="D43" s="9"/>
      <c r="E43" s="9"/>
      <c r="F43" s="9"/>
      <c r="G43" s="11"/>
    </row>
    <row r="44" spans="1:7" x14ac:dyDescent="0.2">
      <c r="A44" s="7"/>
      <c r="B44" s="45" t="s">
        <v>150</v>
      </c>
      <c r="C44" s="9"/>
      <c r="D44" s="9"/>
      <c r="E44" s="9"/>
      <c r="F44" s="21">
        <f>1+(D23*90/360)</f>
        <v>1.03</v>
      </c>
      <c r="G44" s="11"/>
    </row>
    <row r="45" spans="1:7" x14ac:dyDescent="0.2">
      <c r="A45" s="7"/>
      <c r="B45" s="45" t="s">
        <v>151</v>
      </c>
      <c r="C45" s="9"/>
      <c r="D45" s="9"/>
      <c r="E45" s="9"/>
      <c r="F45" s="184">
        <f>F42*F44</f>
        <v>5260463.7681159414</v>
      </c>
      <c r="G45" s="11"/>
    </row>
    <row r="46" spans="1:7" x14ac:dyDescent="0.2">
      <c r="A46" s="7"/>
      <c r="B46" s="9"/>
      <c r="C46" s="9"/>
      <c r="D46" s="9"/>
      <c r="E46" s="9"/>
      <c r="F46" s="9"/>
      <c r="G46" s="11"/>
    </row>
    <row r="47" spans="1:7" x14ac:dyDescent="0.2">
      <c r="A47" s="7"/>
      <c r="B47" s="9"/>
      <c r="C47" s="9"/>
      <c r="D47" s="43" t="s">
        <v>225</v>
      </c>
      <c r="E47" s="9"/>
      <c r="F47" s="43" t="s">
        <v>225</v>
      </c>
      <c r="G47" s="11"/>
    </row>
    <row r="48" spans="1:7" x14ac:dyDescent="0.2">
      <c r="A48" s="7"/>
      <c r="B48" s="13" t="s">
        <v>224</v>
      </c>
      <c r="C48" s="13"/>
      <c r="D48" s="98">
        <f>D19</f>
        <v>1.75</v>
      </c>
      <c r="E48" s="13"/>
      <c r="F48" s="128">
        <f>D21</f>
        <v>1.71</v>
      </c>
      <c r="G48" s="11"/>
    </row>
    <row r="49" spans="1:7" x14ac:dyDescent="0.2">
      <c r="A49" s="7"/>
      <c r="B49" s="45" t="s">
        <v>79</v>
      </c>
      <c r="C49" s="9"/>
      <c r="D49" s="129">
        <f>D20</f>
        <v>1.4999999999999999E-2</v>
      </c>
      <c r="E49" s="44"/>
      <c r="F49" s="129">
        <f>D22</f>
        <v>0.01</v>
      </c>
      <c r="G49" s="11"/>
    </row>
    <row r="50" spans="1:7" x14ac:dyDescent="0.2">
      <c r="A50" s="7"/>
      <c r="B50" s="45" t="s">
        <v>227</v>
      </c>
      <c r="C50" s="9"/>
      <c r="D50" s="133">
        <f>D11</f>
        <v>3000000</v>
      </c>
      <c r="E50" s="44"/>
      <c r="F50" s="133">
        <f>D11</f>
        <v>3000000</v>
      </c>
      <c r="G50" s="11"/>
    </row>
    <row r="51" spans="1:7" x14ac:dyDescent="0.2">
      <c r="A51" s="7"/>
      <c r="B51" s="45" t="s">
        <v>228</v>
      </c>
      <c r="C51" s="9"/>
      <c r="D51" s="132">
        <f>D12</f>
        <v>1.762</v>
      </c>
      <c r="E51" s="44"/>
      <c r="F51" s="132">
        <f>D12</f>
        <v>1.762</v>
      </c>
      <c r="G51" s="11"/>
    </row>
    <row r="52" spans="1:7" x14ac:dyDescent="0.2">
      <c r="A52" s="7"/>
      <c r="B52" s="45" t="s">
        <v>229</v>
      </c>
      <c r="C52" s="9"/>
      <c r="D52" s="79">
        <f>D49*D50*D51</f>
        <v>79290</v>
      </c>
      <c r="E52" s="44"/>
      <c r="F52" s="79">
        <f>F49*F50*F51</f>
        <v>52860</v>
      </c>
      <c r="G52" s="11"/>
    </row>
    <row r="53" spans="1:7" x14ac:dyDescent="0.2">
      <c r="A53" s="7"/>
      <c r="B53" s="45" t="s">
        <v>230</v>
      </c>
      <c r="C53" s="9"/>
      <c r="D53" s="21">
        <f>1+(D23*90/360)</f>
        <v>1.03</v>
      </c>
      <c r="E53" s="44"/>
      <c r="F53" s="21">
        <f>1+(D23*90/360)</f>
        <v>1.03</v>
      </c>
      <c r="G53" s="11"/>
    </row>
    <row r="54" spans="1:7" x14ac:dyDescent="0.2">
      <c r="A54" s="7"/>
      <c r="B54" s="45" t="s">
        <v>231</v>
      </c>
      <c r="C54" s="9"/>
      <c r="D54" s="79">
        <f>D52*D53</f>
        <v>81668.7</v>
      </c>
      <c r="E54" s="44"/>
      <c r="F54" s="79">
        <f>F52*F53</f>
        <v>54445.8</v>
      </c>
      <c r="G54" s="11"/>
    </row>
    <row r="55" spans="1:7" x14ac:dyDescent="0.2">
      <c r="A55" s="7"/>
      <c r="B55" s="9"/>
      <c r="C55" s="9"/>
      <c r="D55" s="9"/>
      <c r="E55" s="9"/>
      <c r="F55" s="9"/>
      <c r="G55" s="11"/>
    </row>
    <row r="56" spans="1:7" x14ac:dyDescent="0.2">
      <c r="A56" s="7"/>
      <c r="B56" s="45" t="s">
        <v>226</v>
      </c>
      <c r="C56" s="9"/>
      <c r="D56" s="79">
        <f>D11*D48</f>
        <v>5250000</v>
      </c>
      <c r="E56" s="9"/>
      <c r="F56" s="79">
        <f>D11*F48</f>
        <v>5130000</v>
      </c>
      <c r="G56" s="11"/>
    </row>
    <row r="57" spans="1:7" x14ac:dyDescent="0.2">
      <c r="A57" s="7"/>
      <c r="B57" s="45" t="s">
        <v>232</v>
      </c>
      <c r="C57" s="9"/>
      <c r="D57" s="130">
        <f>-D54</f>
        <v>-81668.7</v>
      </c>
      <c r="E57" s="9"/>
      <c r="F57" s="130">
        <f>-F54</f>
        <v>-54445.8</v>
      </c>
      <c r="G57" s="11"/>
    </row>
    <row r="58" spans="1:7" x14ac:dyDescent="0.2">
      <c r="A58" s="7"/>
      <c r="B58" s="45" t="s">
        <v>233</v>
      </c>
      <c r="C58" s="9"/>
      <c r="D58" s="184">
        <f>D56+D57</f>
        <v>5168331.3</v>
      </c>
      <c r="E58" s="9"/>
      <c r="F58" s="184">
        <f>F56+F57</f>
        <v>5075554.2</v>
      </c>
      <c r="G58" s="11"/>
    </row>
    <row r="59" spans="1:7" x14ac:dyDescent="0.2">
      <c r="A59" s="7"/>
      <c r="B59" s="45"/>
      <c r="C59" s="9"/>
      <c r="D59" s="131"/>
      <c r="E59" s="9"/>
      <c r="F59" s="131"/>
      <c r="G59" s="11"/>
    </row>
    <row r="60" spans="1:7" x14ac:dyDescent="0.2">
      <c r="A60" s="7"/>
      <c r="B60" s="127" t="s">
        <v>234</v>
      </c>
      <c r="C60" s="9"/>
      <c r="D60" s="134">
        <v>1.7825</v>
      </c>
      <c r="E60" s="9"/>
      <c r="F60" s="134">
        <v>1.7732000000000001</v>
      </c>
      <c r="G60" s="11"/>
    </row>
    <row r="61" spans="1:7" x14ac:dyDescent="0.2">
      <c r="A61" s="7"/>
      <c r="B61" s="45" t="s">
        <v>235</v>
      </c>
      <c r="C61" s="9"/>
      <c r="D61" s="79">
        <f>D11*D60</f>
        <v>5347500</v>
      </c>
      <c r="E61" s="9"/>
      <c r="F61" s="79">
        <f>D11*F60</f>
        <v>5319600</v>
      </c>
      <c r="G61" s="11"/>
    </row>
    <row r="62" spans="1:7" x14ac:dyDescent="0.2">
      <c r="A62" s="7"/>
      <c r="B62" s="45" t="s">
        <v>236</v>
      </c>
      <c r="C62" s="9"/>
      <c r="D62" s="130">
        <f>-D54</f>
        <v>-81668.7</v>
      </c>
      <c r="E62" s="9"/>
      <c r="F62" s="130">
        <f>-F54</f>
        <v>-54445.8</v>
      </c>
      <c r="G62" s="11"/>
    </row>
    <row r="63" spans="1:7" x14ac:dyDescent="0.2">
      <c r="A63" s="7"/>
      <c r="B63" s="45" t="s">
        <v>237</v>
      </c>
      <c r="C63" s="9"/>
      <c r="D63" s="79">
        <f>D61+D62</f>
        <v>5265831.3</v>
      </c>
      <c r="E63" s="9"/>
      <c r="F63" s="79">
        <f>F61+F62</f>
        <v>5265154.2</v>
      </c>
      <c r="G63" s="11"/>
    </row>
    <row r="64" spans="1:7" x14ac:dyDescent="0.2">
      <c r="A64" s="7"/>
      <c r="B64" s="9"/>
      <c r="C64" s="9"/>
      <c r="D64" s="9"/>
      <c r="E64" s="9"/>
      <c r="F64" s="9"/>
      <c r="G64" s="11"/>
    </row>
    <row r="65" spans="1:7" x14ac:dyDescent="0.2">
      <c r="A65" s="7"/>
      <c r="B65" s="367" t="s">
        <v>20</v>
      </c>
      <c r="C65" s="348"/>
      <c r="D65" s="348"/>
      <c r="E65" s="348"/>
      <c r="F65" s="348"/>
      <c r="G65" s="11"/>
    </row>
    <row r="66" spans="1:7" x14ac:dyDescent="0.2">
      <c r="A66" s="7"/>
      <c r="B66" s="348"/>
      <c r="C66" s="348"/>
      <c r="D66" s="348"/>
      <c r="E66" s="348"/>
      <c r="F66" s="348"/>
      <c r="G66" s="11"/>
    </row>
    <row r="67" spans="1:7" x14ac:dyDescent="0.2">
      <c r="A67" s="7"/>
      <c r="B67" s="348"/>
      <c r="C67" s="348"/>
      <c r="D67" s="348"/>
      <c r="E67" s="348"/>
      <c r="F67" s="348"/>
      <c r="G67" s="11"/>
    </row>
    <row r="68" spans="1:7" x14ac:dyDescent="0.2">
      <c r="A68" s="7"/>
      <c r="B68" s="348"/>
      <c r="C68" s="348"/>
      <c r="D68" s="348"/>
      <c r="E68" s="348"/>
      <c r="F68" s="348"/>
      <c r="G68" s="11"/>
    </row>
    <row r="69" spans="1:7" x14ac:dyDescent="0.2">
      <c r="A69" s="7"/>
      <c r="B69" s="348"/>
      <c r="C69" s="348"/>
      <c r="D69" s="348"/>
      <c r="E69" s="348"/>
      <c r="F69" s="348"/>
      <c r="G69" s="11"/>
    </row>
    <row r="70" spans="1:7" ht="13.5" thickBot="1" x14ac:dyDescent="0.25">
      <c r="A70" s="24"/>
      <c r="B70" s="25"/>
      <c r="C70" s="25"/>
      <c r="D70" s="25"/>
      <c r="E70" s="25"/>
      <c r="F70" s="25"/>
      <c r="G70" s="26"/>
    </row>
  </sheetData>
  <mergeCells count="3">
    <mergeCell ref="B65:F69"/>
    <mergeCell ref="B4:F8"/>
    <mergeCell ref="B2:F2"/>
  </mergeCells>
  <phoneticPr fontId="0" type="noConversion"/>
  <printOptions horizontalCentered="1"/>
  <pageMargins left="0.5" right="0.5" top="0.75" bottom="0.75" header="0.5" footer="0.5"/>
  <pageSetup scale="7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workbookViewId="0"/>
  </sheetViews>
  <sheetFormatPr defaultRowHeight="12.75" x14ac:dyDescent="0.2"/>
  <cols>
    <col min="1" max="1" width="2.83203125" customWidth="1"/>
    <col min="2" max="2" width="45.83203125" customWidth="1"/>
    <col min="3" max="3" width="2.83203125" customWidth="1"/>
    <col min="4" max="4" width="18.83203125" customWidth="1"/>
    <col min="5" max="5" width="6.83203125" customWidth="1"/>
    <col min="6" max="6" width="18.83203125" style="3" customWidth="1"/>
    <col min="7" max="7" width="2.83203125" customWidth="1"/>
    <col min="8" max="8" width="19.5" style="3" customWidth="1"/>
    <col min="9" max="9" width="2.83203125" customWidth="1"/>
  </cols>
  <sheetData>
    <row r="1" spans="1:9" x14ac:dyDescent="0.2">
      <c r="A1" s="59"/>
      <c r="B1" s="60"/>
      <c r="C1" s="60"/>
      <c r="D1" s="60"/>
      <c r="E1" s="60"/>
      <c r="F1" s="61"/>
      <c r="G1" s="60"/>
      <c r="H1" s="61"/>
      <c r="I1" s="62"/>
    </row>
    <row r="2" spans="1:9" ht="18.75" x14ac:dyDescent="0.3">
      <c r="A2" s="1"/>
      <c r="B2" s="342" t="s">
        <v>588</v>
      </c>
      <c r="C2" s="342"/>
      <c r="D2" s="342"/>
      <c r="E2" s="346"/>
      <c r="F2" s="346"/>
      <c r="G2" s="346"/>
      <c r="H2" s="346"/>
      <c r="I2" s="2"/>
    </row>
    <row r="3" spans="1:9" x14ac:dyDescent="0.2">
      <c r="A3" s="30"/>
      <c r="B3" s="8"/>
      <c r="C3" s="31"/>
      <c r="D3" s="31"/>
      <c r="E3" s="31"/>
      <c r="F3" s="32"/>
      <c r="G3" s="31"/>
      <c r="H3" s="32"/>
      <c r="I3" s="33"/>
    </row>
    <row r="4" spans="1:9" x14ac:dyDescent="0.2">
      <c r="A4" s="30"/>
      <c r="B4" s="353" t="s">
        <v>521</v>
      </c>
      <c r="C4" s="345"/>
      <c r="D4" s="345"/>
      <c r="E4" s="345"/>
      <c r="F4" s="345"/>
      <c r="G4" s="345"/>
      <c r="H4" s="345"/>
      <c r="I4" s="33"/>
    </row>
    <row r="5" spans="1:9" x14ac:dyDescent="0.2">
      <c r="A5" s="30"/>
      <c r="B5" s="345"/>
      <c r="C5" s="345"/>
      <c r="D5" s="345"/>
      <c r="E5" s="345"/>
      <c r="F5" s="345"/>
      <c r="G5" s="345"/>
      <c r="H5" s="345"/>
      <c r="I5" s="33"/>
    </row>
    <row r="6" spans="1:9" x14ac:dyDescent="0.2">
      <c r="A6" s="30"/>
      <c r="B6" s="345"/>
      <c r="C6" s="345"/>
      <c r="D6" s="345"/>
      <c r="E6" s="345"/>
      <c r="F6" s="345"/>
      <c r="G6" s="345"/>
      <c r="H6" s="345"/>
      <c r="I6" s="33"/>
    </row>
    <row r="7" spans="1:9" x14ac:dyDescent="0.2">
      <c r="A7" s="30"/>
      <c r="B7" s="345"/>
      <c r="C7" s="345"/>
      <c r="D7" s="345"/>
      <c r="E7" s="345"/>
      <c r="F7" s="345"/>
      <c r="G7" s="345"/>
      <c r="H7" s="345"/>
      <c r="I7" s="33"/>
    </row>
    <row r="8" spans="1:9" x14ac:dyDescent="0.2">
      <c r="A8" s="30"/>
      <c r="B8" s="12"/>
      <c r="C8" s="12"/>
      <c r="D8" s="12"/>
      <c r="E8" s="12"/>
      <c r="F8" s="12"/>
      <c r="G8" s="12"/>
      <c r="H8" s="12"/>
      <c r="I8" s="33"/>
    </row>
    <row r="9" spans="1:9" x14ac:dyDescent="0.2">
      <c r="A9" s="30"/>
      <c r="B9" s="358" t="s">
        <v>522</v>
      </c>
      <c r="C9" s="348"/>
      <c r="D9" s="348"/>
      <c r="E9" s="348"/>
      <c r="F9" s="348"/>
      <c r="G9" s="348"/>
      <c r="H9" s="348"/>
      <c r="I9" s="33"/>
    </row>
    <row r="10" spans="1:9" x14ac:dyDescent="0.2">
      <c r="A10" s="30"/>
      <c r="B10" s="348"/>
      <c r="C10" s="348"/>
      <c r="D10" s="348"/>
      <c r="E10" s="348"/>
      <c r="F10" s="348"/>
      <c r="G10" s="348"/>
      <c r="H10" s="348"/>
      <c r="I10" s="33"/>
    </row>
    <row r="11" spans="1:9" x14ac:dyDescent="0.2">
      <c r="A11" s="30"/>
      <c r="B11" s="348"/>
      <c r="C11" s="348"/>
      <c r="D11" s="348"/>
      <c r="E11" s="348"/>
      <c r="F11" s="348"/>
      <c r="G11" s="348"/>
      <c r="H11" s="348"/>
      <c r="I11" s="33"/>
    </row>
    <row r="12" spans="1:9" x14ac:dyDescent="0.2">
      <c r="A12" s="30"/>
      <c r="B12" s="348"/>
      <c r="C12" s="348"/>
      <c r="D12" s="348"/>
      <c r="E12" s="348"/>
      <c r="F12" s="348"/>
      <c r="G12" s="348"/>
      <c r="H12" s="348"/>
      <c r="I12" s="33"/>
    </row>
    <row r="13" spans="1:9" x14ac:dyDescent="0.2">
      <c r="A13" s="30"/>
      <c r="B13" s="68"/>
      <c r="C13" s="68"/>
      <c r="D13" s="68"/>
      <c r="E13" s="68"/>
      <c r="F13" s="68"/>
      <c r="G13" s="68"/>
      <c r="H13" s="68"/>
      <c r="I13" s="33"/>
    </row>
    <row r="14" spans="1:9" ht="12.75" customHeight="1" x14ac:dyDescent="0.2">
      <c r="A14" s="30"/>
      <c r="B14" s="348" t="s">
        <v>239</v>
      </c>
      <c r="C14" s="348"/>
      <c r="D14" s="348"/>
      <c r="E14" s="348"/>
      <c r="F14" s="348"/>
      <c r="G14" s="348"/>
      <c r="H14" s="348"/>
      <c r="I14" s="33"/>
    </row>
    <row r="15" spans="1:9" x14ac:dyDescent="0.2">
      <c r="A15" s="30"/>
      <c r="B15" s="348"/>
      <c r="C15" s="348"/>
      <c r="D15" s="348"/>
      <c r="E15" s="348"/>
      <c r="F15" s="348"/>
      <c r="G15" s="348"/>
      <c r="H15" s="348"/>
      <c r="I15" s="33"/>
    </row>
    <row r="16" spans="1:9" x14ac:dyDescent="0.2">
      <c r="A16" s="30"/>
      <c r="B16" s="68"/>
      <c r="C16" s="68"/>
      <c r="D16" s="68"/>
      <c r="E16" s="68"/>
      <c r="F16" s="68"/>
      <c r="G16" s="68"/>
      <c r="H16" s="68"/>
      <c r="I16" s="33"/>
    </row>
    <row r="17" spans="1:9" x14ac:dyDescent="0.2">
      <c r="A17" s="30"/>
      <c r="B17" s="95" t="s">
        <v>523</v>
      </c>
      <c r="C17" s="95"/>
      <c r="D17" s="95"/>
      <c r="E17" s="95"/>
      <c r="F17" s="95"/>
      <c r="G17" s="95"/>
      <c r="H17" s="95"/>
      <c r="I17" s="33"/>
    </row>
    <row r="18" spans="1:9" x14ac:dyDescent="0.2">
      <c r="A18" s="30"/>
      <c r="B18" s="95"/>
      <c r="C18" s="95"/>
      <c r="D18" s="95"/>
      <c r="E18" s="95"/>
      <c r="F18" s="95"/>
      <c r="G18" s="95"/>
      <c r="H18" s="95"/>
      <c r="I18" s="33"/>
    </row>
    <row r="19" spans="1:9" x14ac:dyDescent="0.2">
      <c r="A19" s="30"/>
      <c r="B19" s="358" t="s">
        <v>524</v>
      </c>
      <c r="C19" s="348"/>
      <c r="D19" s="348"/>
      <c r="E19" s="348"/>
      <c r="F19" s="348"/>
      <c r="G19" s="348"/>
      <c r="H19" s="348"/>
      <c r="I19" s="33"/>
    </row>
    <row r="20" spans="1:9" x14ac:dyDescent="0.2">
      <c r="A20" s="30"/>
      <c r="B20" s="348"/>
      <c r="C20" s="348"/>
      <c r="D20" s="348"/>
      <c r="E20" s="348"/>
      <c r="F20" s="348"/>
      <c r="G20" s="348"/>
      <c r="H20" s="348"/>
      <c r="I20" s="33"/>
    </row>
    <row r="21" spans="1:9" x14ac:dyDescent="0.2">
      <c r="A21" s="30"/>
      <c r="B21" s="348"/>
      <c r="C21" s="348"/>
      <c r="D21" s="348"/>
      <c r="E21" s="348"/>
      <c r="F21" s="348"/>
      <c r="G21" s="348"/>
      <c r="H21" s="348"/>
      <c r="I21" s="33"/>
    </row>
    <row r="22" spans="1:9" x14ac:dyDescent="0.2">
      <c r="A22" s="30"/>
      <c r="B22" s="68"/>
      <c r="C22" s="68"/>
      <c r="D22" s="68"/>
      <c r="E22" s="68"/>
      <c r="F22" s="68"/>
      <c r="G22" s="68"/>
      <c r="H22" s="68"/>
      <c r="I22" s="33"/>
    </row>
    <row r="23" spans="1:9" x14ac:dyDescent="0.2">
      <c r="A23" s="30"/>
      <c r="B23" s="348" t="s">
        <v>525</v>
      </c>
      <c r="C23" s="348"/>
      <c r="D23" s="348"/>
      <c r="E23" s="348"/>
      <c r="F23" s="348"/>
      <c r="G23" s="348"/>
      <c r="H23" s="348"/>
      <c r="I23" s="33"/>
    </row>
    <row r="24" spans="1:9" x14ac:dyDescent="0.2">
      <c r="A24" s="30"/>
      <c r="B24" s="348"/>
      <c r="C24" s="348"/>
      <c r="D24" s="348"/>
      <c r="E24" s="348"/>
      <c r="F24" s="348"/>
      <c r="G24" s="348"/>
      <c r="H24" s="348"/>
      <c r="I24" s="33"/>
    </row>
    <row r="25" spans="1:9" x14ac:dyDescent="0.2">
      <c r="A25" s="30"/>
      <c r="B25" s="231"/>
      <c r="C25" s="231"/>
      <c r="D25" s="231"/>
      <c r="E25" s="231"/>
      <c r="F25" s="231"/>
      <c r="G25" s="231"/>
      <c r="H25" s="231"/>
      <c r="I25" s="33"/>
    </row>
    <row r="26" spans="1:9" ht="12.75" customHeight="1" x14ac:dyDescent="0.2">
      <c r="A26" s="30"/>
      <c r="B26" s="372" t="s">
        <v>545</v>
      </c>
      <c r="C26" s="373"/>
      <c r="D26" s="373"/>
      <c r="E26" s="373"/>
      <c r="F26" s="373"/>
      <c r="G26" s="373"/>
      <c r="H26" s="373"/>
      <c r="I26" s="33"/>
    </row>
    <row r="27" spans="1:9" x14ac:dyDescent="0.2">
      <c r="A27" s="30"/>
      <c r="B27" s="373"/>
      <c r="C27" s="373"/>
      <c r="D27" s="373"/>
      <c r="E27" s="373"/>
      <c r="F27" s="373"/>
      <c r="G27" s="373"/>
      <c r="H27" s="373"/>
      <c r="I27" s="33"/>
    </row>
    <row r="28" spans="1:9" x14ac:dyDescent="0.2">
      <c r="A28" s="30"/>
      <c r="B28" s="31"/>
      <c r="C28" s="31"/>
      <c r="D28" s="31"/>
      <c r="E28" s="31"/>
      <c r="F28" s="32"/>
      <c r="G28" s="31"/>
      <c r="H28" s="32"/>
      <c r="I28" s="33"/>
    </row>
    <row r="29" spans="1:9" x14ac:dyDescent="0.2">
      <c r="A29" s="30"/>
      <c r="B29" s="13" t="s">
        <v>247</v>
      </c>
      <c r="C29" s="31"/>
      <c r="D29" s="14" t="s">
        <v>246</v>
      </c>
      <c r="E29" s="31"/>
      <c r="F29" s="196" t="s">
        <v>535</v>
      </c>
      <c r="G29" s="154"/>
      <c r="H29" s="155"/>
      <c r="I29" s="33"/>
    </row>
    <row r="30" spans="1:9" x14ac:dyDescent="0.2">
      <c r="A30" s="30"/>
      <c r="B30" s="9" t="s">
        <v>168</v>
      </c>
      <c r="C30" s="31"/>
      <c r="D30" s="176">
        <v>1.1060000000000001</v>
      </c>
      <c r="E30" s="31"/>
      <c r="F30" s="156"/>
      <c r="G30" s="31"/>
      <c r="H30" s="157" t="s">
        <v>365</v>
      </c>
      <c r="I30" s="33"/>
    </row>
    <row r="31" spans="1:9" x14ac:dyDescent="0.2">
      <c r="A31" s="30"/>
      <c r="B31" s="9" t="s">
        <v>169</v>
      </c>
      <c r="C31" s="31"/>
      <c r="D31" s="176">
        <v>1.113</v>
      </c>
      <c r="E31" s="31"/>
      <c r="F31" s="158" t="s">
        <v>364</v>
      </c>
      <c r="G31" s="31"/>
      <c r="H31" s="159" t="s">
        <v>170</v>
      </c>
      <c r="I31" s="33"/>
    </row>
    <row r="32" spans="1:9" x14ac:dyDescent="0.2">
      <c r="A32" s="30"/>
      <c r="B32" s="9" t="s">
        <v>368</v>
      </c>
      <c r="C32" s="31"/>
      <c r="D32" s="96">
        <v>3.5999999999999997E-2</v>
      </c>
      <c r="E32" s="31"/>
      <c r="F32" s="160" t="s">
        <v>536</v>
      </c>
      <c r="G32" s="31"/>
      <c r="H32" s="179">
        <v>1.08</v>
      </c>
      <c r="I32" s="33"/>
    </row>
    <row r="33" spans="1:9" x14ac:dyDescent="0.2">
      <c r="A33" s="30"/>
      <c r="B33" s="9" t="s">
        <v>538</v>
      </c>
      <c r="C33" s="31"/>
      <c r="D33" s="96">
        <v>0.08</v>
      </c>
      <c r="E33" s="31"/>
      <c r="F33" s="161" t="s">
        <v>537</v>
      </c>
      <c r="G33" s="52"/>
      <c r="H33" s="180">
        <v>1.1000000000000001</v>
      </c>
      <c r="I33" s="33"/>
    </row>
    <row r="34" spans="1:9" x14ac:dyDescent="0.2">
      <c r="A34" s="30"/>
      <c r="B34" s="9" t="s">
        <v>539</v>
      </c>
      <c r="C34" s="31"/>
      <c r="D34" s="16">
        <v>0.12</v>
      </c>
      <c r="E34" s="31"/>
      <c r="F34" s="36"/>
      <c r="G34" s="31"/>
      <c r="H34" s="36"/>
      <c r="I34" s="33"/>
    </row>
    <row r="35" spans="1:9" x14ac:dyDescent="0.2">
      <c r="A35" s="30"/>
      <c r="B35" s="9"/>
      <c r="C35" s="31"/>
      <c r="D35" s="147"/>
      <c r="E35" s="148"/>
      <c r="F35" s="149"/>
      <c r="G35" s="162"/>
      <c r="H35" s="163"/>
      <c r="I35" s="33"/>
    </row>
    <row r="36" spans="1:9" x14ac:dyDescent="0.2">
      <c r="A36" s="30"/>
      <c r="B36" s="13" t="s">
        <v>369</v>
      </c>
      <c r="C36" s="31"/>
      <c r="D36" s="14" t="s">
        <v>370</v>
      </c>
      <c r="E36" s="31"/>
      <c r="F36" s="14" t="s">
        <v>280</v>
      </c>
      <c r="G36" s="31"/>
      <c r="H36" s="14" t="s">
        <v>281</v>
      </c>
      <c r="I36" s="33"/>
    </row>
    <row r="37" spans="1:9" x14ac:dyDescent="0.2">
      <c r="A37" s="30"/>
      <c r="B37" s="9" t="s">
        <v>540</v>
      </c>
      <c r="C37" s="31"/>
      <c r="D37" s="176">
        <v>1.1000000000000001</v>
      </c>
      <c r="E37" s="31"/>
      <c r="F37" s="150">
        <v>0.03</v>
      </c>
      <c r="G37" s="164"/>
      <c r="H37" s="145">
        <v>0.02</v>
      </c>
      <c r="I37" s="33"/>
    </row>
    <row r="38" spans="1:9" x14ac:dyDescent="0.2">
      <c r="A38" s="30"/>
      <c r="B38" s="9" t="s">
        <v>541</v>
      </c>
      <c r="C38" s="31"/>
      <c r="D38" s="176">
        <v>1.1000000000000001</v>
      </c>
      <c r="E38" s="31"/>
      <c r="F38" s="145">
        <v>2.5999999999999999E-2</v>
      </c>
      <c r="G38" s="31"/>
      <c r="H38" s="145">
        <v>1.2E-2</v>
      </c>
      <c r="I38" s="33"/>
    </row>
    <row r="39" spans="1:9" x14ac:dyDescent="0.2">
      <c r="A39" s="30"/>
      <c r="B39" s="9"/>
      <c r="C39" s="31"/>
      <c r="D39" s="31"/>
      <c r="E39" s="31"/>
      <c r="F39" s="16"/>
      <c r="G39" s="31"/>
      <c r="H39" s="16"/>
      <c r="I39" s="33"/>
    </row>
    <row r="40" spans="1:9" x14ac:dyDescent="0.2">
      <c r="A40" s="30"/>
      <c r="B40" s="13" t="s">
        <v>372</v>
      </c>
      <c r="C40" s="31"/>
      <c r="D40" s="31"/>
      <c r="E40" s="31"/>
      <c r="F40" s="90" t="s">
        <v>533</v>
      </c>
      <c r="G40" s="44"/>
      <c r="H40" s="90" t="s">
        <v>534</v>
      </c>
      <c r="I40" s="33"/>
    </row>
    <row r="41" spans="1:9" x14ac:dyDescent="0.2">
      <c r="A41" s="30"/>
      <c r="B41" s="31" t="s">
        <v>371</v>
      </c>
      <c r="C41" s="31"/>
      <c r="D41" s="165"/>
      <c r="E41" s="31"/>
      <c r="F41" s="166">
        <v>2000000</v>
      </c>
      <c r="G41" s="31"/>
      <c r="H41" s="166">
        <v>2000000</v>
      </c>
      <c r="I41" s="33"/>
    </row>
    <row r="42" spans="1:9" x14ac:dyDescent="0.2">
      <c r="A42" s="30"/>
      <c r="B42" s="31"/>
      <c r="C42" s="31"/>
      <c r="D42" s="31"/>
      <c r="E42" s="31"/>
      <c r="F42" s="32"/>
      <c r="G42" s="31"/>
      <c r="H42" s="32"/>
      <c r="I42" s="33"/>
    </row>
    <row r="43" spans="1:9" x14ac:dyDescent="0.2">
      <c r="A43" s="30"/>
      <c r="B43" s="44" t="s">
        <v>373</v>
      </c>
      <c r="C43" s="31"/>
      <c r="D43" s="31"/>
      <c r="E43" s="31"/>
      <c r="F43" s="32"/>
      <c r="G43" s="31"/>
      <c r="H43" s="32"/>
      <c r="I43" s="33"/>
    </row>
    <row r="44" spans="1:9" x14ac:dyDescent="0.2">
      <c r="A44" s="30"/>
      <c r="B44" s="44"/>
      <c r="C44" s="31"/>
      <c r="D44" s="47" t="s">
        <v>371</v>
      </c>
      <c r="E44" s="31"/>
      <c r="F44" s="167">
        <f>F41</f>
        <v>2000000</v>
      </c>
      <c r="G44" s="31"/>
      <c r="H44" s="167">
        <f>H41</f>
        <v>2000000</v>
      </c>
      <c r="I44" s="33"/>
    </row>
    <row r="45" spans="1:9" x14ac:dyDescent="0.2">
      <c r="A45" s="30"/>
      <c r="B45" s="31"/>
      <c r="C45" s="31"/>
      <c r="D45" s="47" t="s">
        <v>171</v>
      </c>
      <c r="E45" s="31"/>
      <c r="F45" s="177">
        <f>D30</f>
        <v>1.1060000000000001</v>
      </c>
      <c r="G45" s="44"/>
      <c r="H45" s="177">
        <f>D31</f>
        <v>1.113</v>
      </c>
      <c r="I45" s="33"/>
    </row>
    <row r="46" spans="1:9" x14ac:dyDescent="0.2">
      <c r="A46" s="30"/>
      <c r="B46" s="31"/>
      <c r="C46" s="31"/>
      <c r="D46" s="47" t="s">
        <v>374</v>
      </c>
      <c r="E46" s="31"/>
      <c r="F46" s="178">
        <f>F41*F45</f>
        <v>2212000</v>
      </c>
      <c r="G46" s="114"/>
      <c r="H46" s="178">
        <f>H41*H45</f>
        <v>2226000</v>
      </c>
      <c r="I46" s="33"/>
    </row>
    <row r="47" spans="1:9" x14ac:dyDescent="0.2">
      <c r="A47" s="30"/>
      <c r="B47" s="31"/>
      <c r="C47" s="31"/>
      <c r="D47" s="47" t="s">
        <v>527</v>
      </c>
      <c r="E47" s="31"/>
      <c r="F47" s="93">
        <f>1+($D$34/4)</f>
        <v>1.03</v>
      </c>
      <c r="G47" s="44"/>
      <c r="H47" s="168" t="s">
        <v>383</v>
      </c>
      <c r="I47" s="33"/>
    </row>
    <row r="48" spans="1:9" ht="13.5" thickBot="1" x14ac:dyDescent="0.25">
      <c r="A48" s="30"/>
      <c r="B48" s="31"/>
      <c r="C48" s="31"/>
      <c r="D48" s="47" t="s">
        <v>528</v>
      </c>
      <c r="E48" s="31"/>
      <c r="F48" s="178">
        <f>F46*F47</f>
        <v>2278360</v>
      </c>
      <c r="G48" s="114"/>
      <c r="H48" s="178">
        <f>H46</f>
        <v>2226000</v>
      </c>
      <c r="I48" s="33"/>
    </row>
    <row r="49" spans="1:9" ht="13.5" thickBot="1" x14ac:dyDescent="0.25">
      <c r="A49" s="30"/>
      <c r="B49" s="31"/>
      <c r="C49" s="31"/>
      <c r="D49" s="47" t="s">
        <v>21</v>
      </c>
      <c r="E49" s="31"/>
      <c r="F49" s="369">
        <f>F48+H48</f>
        <v>4504360</v>
      </c>
      <c r="G49" s="370"/>
      <c r="H49" s="371"/>
      <c r="I49" s="33"/>
    </row>
    <row r="50" spans="1:9" x14ac:dyDescent="0.2">
      <c r="A50" s="30"/>
      <c r="B50" s="31"/>
      <c r="C50" s="31"/>
      <c r="D50" s="47"/>
      <c r="E50" s="31"/>
      <c r="F50" s="169"/>
      <c r="G50" s="170"/>
      <c r="H50" s="170"/>
      <c r="I50" s="33"/>
    </row>
    <row r="51" spans="1:9" x14ac:dyDescent="0.2">
      <c r="A51" s="30"/>
      <c r="B51" s="44" t="s">
        <v>375</v>
      </c>
      <c r="C51" s="31"/>
      <c r="D51" s="31"/>
      <c r="E51" s="31"/>
      <c r="F51" s="32"/>
      <c r="G51" s="31"/>
      <c r="H51" s="32"/>
      <c r="I51" s="33"/>
    </row>
    <row r="52" spans="1:9" x14ac:dyDescent="0.2">
      <c r="A52" s="30"/>
      <c r="B52" s="44"/>
      <c r="C52" s="31"/>
      <c r="D52" s="47" t="s">
        <v>371</v>
      </c>
      <c r="E52" s="31"/>
      <c r="F52" s="167">
        <f>F41</f>
        <v>2000000</v>
      </c>
      <c r="G52" s="31"/>
      <c r="H52" s="167">
        <f>H41</f>
        <v>2000000</v>
      </c>
      <c r="I52" s="33"/>
    </row>
    <row r="53" spans="1:9" x14ac:dyDescent="0.2">
      <c r="A53" s="30"/>
      <c r="B53" s="31"/>
      <c r="C53" s="31"/>
      <c r="D53" s="47" t="s">
        <v>376</v>
      </c>
      <c r="E53" s="31"/>
      <c r="F53" s="171">
        <f>1+(D33/4)</f>
        <v>1.02</v>
      </c>
      <c r="G53" s="171"/>
      <c r="H53" s="171">
        <f>1+(D33/2)</f>
        <v>1.04</v>
      </c>
      <c r="I53" s="33"/>
    </row>
    <row r="54" spans="1:9" x14ac:dyDescent="0.2">
      <c r="A54" s="30"/>
      <c r="B54" s="31"/>
      <c r="C54" s="31"/>
      <c r="D54" s="47" t="s">
        <v>377</v>
      </c>
      <c r="E54" s="31"/>
      <c r="F54" s="167">
        <f>F52/F53</f>
        <v>1960784.3137254901</v>
      </c>
      <c r="G54" s="43"/>
      <c r="H54" s="167">
        <f>H52/H53</f>
        <v>1923076.923076923</v>
      </c>
      <c r="I54" s="33"/>
    </row>
    <row r="55" spans="1:9" x14ac:dyDescent="0.2">
      <c r="A55" s="30"/>
      <c r="B55" s="31"/>
      <c r="C55" s="31"/>
      <c r="D55" s="47" t="s">
        <v>172</v>
      </c>
      <c r="E55" s="31"/>
      <c r="F55" s="177">
        <f>H33</f>
        <v>1.1000000000000001</v>
      </c>
      <c r="G55" s="44"/>
      <c r="H55" s="177">
        <f>H33</f>
        <v>1.1000000000000001</v>
      </c>
      <c r="I55" s="33"/>
    </row>
    <row r="56" spans="1:9" x14ac:dyDescent="0.2">
      <c r="A56" s="30"/>
      <c r="B56" s="31"/>
      <c r="C56" s="31"/>
      <c r="D56" s="47" t="s">
        <v>378</v>
      </c>
      <c r="E56" s="31"/>
      <c r="F56" s="178">
        <f>F54*F55</f>
        <v>2156862.7450980395</v>
      </c>
      <c r="G56" s="114"/>
      <c r="H56" s="178">
        <f>H54*H55</f>
        <v>2115384.6153846155</v>
      </c>
      <c r="I56" s="33"/>
    </row>
    <row r="57" spans="1:9" x14ac:dyDescent="0.2">
      <c r="A57" s="30"/>
      <c r="B57" s="31"/>
      <c r="C57" s="31"/>
      <c r="D57" s="47" t="s">
        <v>379</v>
      </c>
      <c r="E57" s="31"/>
      <c r="F57" s="171">
        <f>1+(D34/2)</f>
        <v>1.06</v>
      </c>
      <c r="G57" s="171"/>
      <c r="H57" s="171">
        <f>1+(D34/2)</f>
        <v>1.06</v>
      </c>
      <c r="I57" s="33"/>
    </row>
    <row r="58" spans="1:9" ht="13.5" thickBot="1" x14ac:dyDescent="0.25">
      <c r="A58" s="30"/>
      <c r="B58" s="31"/>
      <c r="C58" s="31"/>
      <c r="D58" s="47" t="s">
        <v>380</v>
      </c>
      <c r="E58" s="31"/>
      <c r="F58" s="178">
        <f>F56*F57</f>
        <v>2286274.5098039219</v>
      </c>
      <c r="G58" s="114"/>
      <c r="H58" s="178">
        <f>H56*H57</f>
        <v>2242307.6923076925</v>
      </c>
      <c r="I58" s="33"/>
    </row>
    <row r="59" spans="1:9" ht="13.5" thickBot="1" x14ac:dyDescent="0.25">
      <c r="A59" s="30"/>
      <c r="B59" s="31"/>
      <c r="C59" s="31"/>
      <c r="D59" s="47" t="s">
        <v>21</v>
      </c>
      <c r="E59" s="31"/>
      <c r="F59" s="369">
        <f>F58+H58</f>
        <v>4528582.2021116149</v>
      </c>
      <c r="G59" s="370"/>
      <c r="H59" s="371"/>
      <c r="I59" s="33"/>
    </row>
    <row r="60" spans="1:9" x14ac:dyDescent="0.2">
      <c r="A60" s="30"/>
      <c r="B60" s="31"/>
      <c r="C60" s="31"/>
      <c r="D60" s="31"/>
      <c r="E60" s="31"/>
      <c r="F60" s="173"/>
      <c r="G60" s="174"/>
      <c r="H60" s="174"/>
      <c r="I60" s="33"/>
    </row>
    <row r="61" spans="1:9" x14ac:dyDescent="0.2">
      <c r="A61" s="30"/>
      <c r="B61" s="44" t="s">
        <v>381</v>
      </c>
      <c r="C61" s="31"/>
      <c r="D61" s="103"/>
      <c r="E61" s="31"/>
      <c r="F61" s="43"/>
      <c r="G61" s="43"/>
      <c r="H61" s="43"/>
      <c r="I61" s="33"/>
    </row>
    <row r="62" spans="1:9" x14ac:dyDescent="0.2">
      <c r="A62" s="30"/>
      <c r="B62" s="31"/>
      <c r="C62" s="31"/>
      <c r="D62" s="47" t="s">
        <v>371</v>
      </c>
      <c r="E62" s="31"/>
      <c r="F62" s="167">
        <f>F41</f>
        <v>2000000</v>
      </c>
      <c r="G62" s="43"/>
      <c r="H62" s="167">
        <f>H41</f>
        <v>2000000</v>
      </c>
      <c r="I62" s="33"/>
    </row>
    <row r="63" spans="1:9" x14ac:dyDescent="0.2">
      <c r="A63" s="30"/>
      <c r="B63" s="31"/>
      <c r="C63" s="31"/>
      <c r="D63" s="47" t="s">
        <v>384</v>
      </c>
      <c r="E63" s="31"/>
      <c r="F63" s="178">
        <f>-H33*F62*H37</f>
        <v>-44000</v>
      </c>
      <c r="G63" s="114"/>
      <c r="H63" s="178">
        <f>-H33*H62*H38</f>
        <v>-26400</v>
      </c>
      <c r="I63" s="33"/>
    </row>
    <row r="64" spans="1:9" x14ac:dyDescent="0.2">
      <c r="A64" s="30"/>
      <c r="B64" s="31"/>
      <c r="C64" s="31"/>
      <c r="D64" s="47" t="s">
        <v>385</v>
      </c>
      <c r="E64" s="31"/>
      <c r="F64" s="171">
        <f>1+(D34/2)</f>
        <v>1.06</v>
      </c>
      <c r="G64" s="43"/>
      <c r="H64" s="171">
        <f>1+(D34/2)</f>
        <v>1.06</v>
      </c>
      <c r="I64" s="33"/>
    </row>
    <row r="65" spans="1:9" x14ac:dyDescent="0.2">
      <c r="A65" s="30"/>
      <c r="B65" s="31"/>
      <c r="C65" s="31"/>
      <c r="D65" s="47" t="s">
        <v>529</v>
      </c>
      <c r="E65" s="31"/>
      <c r="F65" s="178">
        <f>F63*F64</f>
        <v>-46640</v>
      </c>
      <c r="G65" s="114"/>
      <c r="H65" s="178">
        <f>H63*H64</f>
        <v>-27984</v>
      </c>
      <c r="I65" s="33"/>
    </row>
    <row r="66" spans="1:9" x14ac:dyDescent="0.2">
      <c r="A66" s="30"/>
      <c r="B66" s="31"/>
      <c r="C66" s="31"/>
      <c r="D66" s="47"/>
      <c r="E66" s="31"/>
      <c r="F66" s="172"/>
      <c r="G66" s="43"/>
      <c r="H66" s="172"/>
      <c r="I66" s="33"/>
    </row>
    <row r="67" spans="1:9" x14ac:dyDescent="0.2">
      <c r="A67" s="30"/>
      <c r="B67" s="31"/>
      <c r="C67" s="31"/>
      <c r="D67" s="47" t="s">
        <v>386</v>
      </c>
      <c r="E67" s="31"/>
      <c r="F67" s="178">
        <f>D37*F62</f>
        <v>2200000</v>
      </c>
      <c r="G67" s="114"/>
      <c r="H67" s="178">
        <f>D38*H62</f>
        <v>2200000</v>
      </c>
      <c r="I67" s="33"/>
    </row>
    <row r="68" spans="1:9" x14ac:dyDescent="0.2">
      <c r="A68" s="30"/>
      <c r="B68" s="31"/>
      <c r="C68" s="31"/>
      <c r="D68" s="47" t="s">
        <v>530</v>
      </c>
      <c r="E68" s="31"/>
      <c r="F68" s="171">
        <f>1+(D34/4)</f>
        <v>1.03</v>
      </c>
      <c r="G68" s="43"/>
      <c r="H68" s="175" t="s">
        <v>387</v>
      </c>
      <c r="I68" s="33"/>
    </row>
    <row r="69" spans="1:9" ht="13.5" thickBot="1" x14ac:dyDescent="0.25">
      <c r="A69" s="30"/>
      <c r="B69" s="31"/>
      <c r="C69" s="31"/>
      <c r="D69" s="47" t="s">
        <v>531</v>
      </c>
      <c r="E69" s="31"/>
      <c r="F69" s="178">
        <f>F67*F68</f>
        <v>2266000</v>
      </c>
      <c r="G69" s="114"/>
      <c r="H69" s="178">
        <f>H67</f>
        <v>2200000</v>
      </c>
      <c r="I69" s="33"/>
    </row>
    <row r="70" spans="1:9" ht="13.5" thickBot="1" x14ac:dyDescent="0.25">
      <c r="A70" s="30"/>
      <c r="B70" s="31"/>
      <c r="C70" s="31"/>
      <c r="D70" s="47" t="s">
        <v>532</v>
      </c>
      <c r="E70" s="31"/>
      <c r="F70" s="369">
        <f>F69+H69+F65+H65</f>
        <v>4391376</v>
      </c>
      <c r="G70" s="370"/>
      <c r="H70" s="371"/>
      <c r="I70" s="33"/>
    </row>
    <row r="71" spans="1:9" x14ac:dyDescent="0.2">
      <c r="A71" s="30"/>
      <c r="B71" s="31"/>
      <c r="C71" s="31"/>
      <c r="D71" s="47"/>
      <c r="E71" s="31"/>
      <c r="F71" s="43"/>
      <c r="G71" s="43"/>
      <c r="H71" s="43"/>
      <c r="I71" s="33"/>
    </row>
    <row r="72" spans="1:9" x14ac:dyDescent="0.2">
      <c r="A72" s="30"/>
      <c r="B72" s="44" t="s">
        <v>382</v>
      </c>
      <c r="C72" s="31"/>
      <c r="D72" s="31"/>
      <c r="E72" s="31"/>
      <c r="F72" s="43"/>
      <c r="G72" s="43"/>
      <c r="H72" s="43"/>
      <c r="I72" s="33"/>
    </row>
    <row r="73" spans="1:9" x14ac:dyDescent="0.2">
      <c r="A73" s="30"/>
      <c r="B73" s="31"/>
      <c r="C73" s="31"/>
      <c r="D73" s="47" t="s">
        <v>371</v>
      </c>
      <c r="E73" s="31"/>
      <c r="F73" s="167">
        <f>F41</f>
        <v>2000000</v>
      </c>
      <c r="G73" s="43"/>
      <c r="H73" s="167">
        <f>H41</f>
        <v>2000000</v>
      </c>
      <c r="I73" s="33"/>
    </row>
    <row r="74" spans="1:9" x14ac:dyDescent="0.2">
      <c r="A74" s="30"/>
      <c r="B74" s="31"/>
      <c r="C74" s="31"/>
      <c r="D74" s="47" t="s">
        <v>173</v>
      </c>
      <c r="E74" s="31"/>
      <c r="F74" s="43" t="s">
        <v>388</v>
      </c>
      <c r="G74" s="31"/>
      <c r="H74" s="43" t="s">
        <v>388</v>
      </c>
      <c r="I74" s="33"/>
    </row>
    <row r="75" spans="1:9" x14ac:dyDescent="0.2">
      <c r="A75" s="30"/>
      <c r="B75" s="31"/>
      <c r="C75" s="31"/>
      <c r="D75" s="31"/>
      <c r="E75" s="31"/>
      <c r="F75" s="32"/>
      <c r="G75" s="31"/>
      <c r="H75" s="32"/>
      <c r="I75" s="33"/>
    </row>
    <row r="76" spans="1:9" x14ac:dyDescent="0.2">
      <c r="A76" s="30"/>
      <c r="B76" s="368" t="s">
        <v>526</v>
      </c>
      <c r="C76" s="348"/>
      <c r="D76" s="348"/>
      <c r="E76" s="348"/>
      <c r="F76" s="348"/>
      <c r="G76" s="348"/>
      <c r="H76" s="348"/>
      <c r="I76" s="33"/>
    </row>
    <row r="77" spans="1:9" x14ac:dyDescent="0.2">
      <c r="A77" s="30"/>
      <c r="B77" s="348"/>
      <c r="C77" s="348"/>
      <c r="D77" s="348"/>
      <c r="E77" s="348"/>
      <c r="F77" s="348"/>
      <c r="G77" s="348"/>
      <c r="H77" s="348"/>
      <c r="I77" s="33"/>
    </row>
    <row r="78" spans="1:9" ht="13.5" thickBot="1" x14ac:dyDescent="0.25">
      <c r="A78" s="55"/>
      <c r="B78" s="56"/>
      <c r="C78" s="56"/>
      <c r="D78" s="56"/>
      <c r="E78" s="56"/>
      <c r="F78" s="57"/>
      <c r="G78" s="56"/>
      <c r="H78" s="57"/>
      <c r="I78" s="58"/>
    </row>
  </sheetData>
  <mergeCells count="11">
    <mergeCell ref="B76:H77"/>
    <mergeCell ref="B19:H21"/>
    <mergeCell ref="B23:H24"/>
    <mergeCell ref="B2:H2"/>
    <mergeCell ref="F49:H49"/>
    <mergeCell ref="F59:H59"/>
    <mergeCell ref="F70:H70"/>
    <mergeCell ref="B14:H15"/>
    <mergeCell ref="B9:H12"/>
    <mergeCell ref="B4:H7"/>
    <mergeCell ref="B26:H27"/>
  </mergeCells>
  <phoneticPr fontId="0" type="noConversion"/>
  <printOptions horizontalCentered="1"/>
  <pageMargins left="0.75" right="0.75" top="0.5" bottom="0.5" header="0.5" footer="0.5"/>
  <pageSetup scale="7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workbookViewId="0"/>
  </sheetViews>
  <sheetFormatPr defaultRowHeight="12.75" x14ac:dyDescent="0.2"/>
  <cols>
    <col min="1" max="1" width="2.83203125" style="245" customWidth="1"/>
    <col min="2" max="2" width="20.83203125" style="245" customWidth="1"/>
    <col min="3" max="3" width="2.83203125" style="245" customWidth="1"/>
    <col min="4" max="4" width="30.83203125" style="245" customWidth="1"/>
    <col min="5" max="5" width="2.83203125" style="245" customWidth="1"/>
    <col min="6" max="6" width="18.83203125" style="245" customWidth="1"/>
    <col min="7" max="7" width="2.83203125" style="245" customWidth="1"/>
    <col min="8" max="8" width="18.83203125" style="245" customWidth="1"/>
    <col min="9" max="9" width="2.83203125" style="276" customWidth="1"/>
    <col min="10" max="258" width="9.33203125" style="245"/>
    <col min="259" max="259" width="2.83203125" style="245" customWidth="1"/>
    <col min="260" max="260" width="36.83203125" style="245" customWidth="1"/>
    <col min="261" max="261" width="2.83203125" style="245" customWidth="1"/>
    <col min="262" max="262" width="18.83203125" style="245" customWidth="1"/>
    <col min="263" max="263" width="2.83203125" style="245" customWidth="1"/>
    <col min="264" max="264" width="18.83203125" style="245" customWidth="1"/>
    <col min="265" max="265" width="2.83203125" style="245" customWidth="1"/>
    <col min="266" max="514" width="9.33203125" style="245"/>
    <col min="515" max="515" width="2.83203125" style="245" customWidth="1"/>
    <col min="516" max="516" width="36.83203125" style="245" customWidth="1"/>
    <col min="517" max="517" width="2.83203125" style="245" customWidth="1"/>
    <col min="518" max="518" width="18.83203125" style="245" customWidth="1"/>
    <col min="519" max="519" width="2.83203125" style="245" customWidth="1"/>
    <col min="520" max="520" width="18.83203125" style="245" customWidth="1"/>
    <col min="521" max="521" width="2.83203125" style="245" customWidth="1"/>
    <col min="522" max="770" width="9.33203125" style="245"/>
    <col min="771" max="771" width="2.83203125" style="245" customWidth="1"/>
    <col min="772" max="772" width="36.83203125" style="245" customWidth="1"/>
    <col min="773" max="773" width="2.83203125" style="245" customWidth="1"/>
    <col min="774" max="774" width="18.83203125" style="245" customWidth="1"/>
    <col min="775" max="775" width="2.83203125" style="245" customWidth="1"/>
    <col min="776" max="776" width="18.83203125" style="245" customWidth="1"/>
    <col min="777" max="777" width="2.83203125" style="245" customWidth="1"/>
    <col min="778" max="1026" width="9.33203125" style="245"/>
    <col min="1027" max="1027" width="2.83203125" style="245" customWidth="1"/>
    <col min="1028" max="1028" width="36.83203125" style="245" customWidth="1"/>
    <col min="1029" max="1029" width="2.83203125" style="245" customWidth="1"/>
    <col min="1030" max="1030" width="18.83203125" style="245" customWidth="1"/>
    <col min="1031" max="1031" width="2.83203125" style="245" customWidth="1"/>
    <col min="1032" max="1032" width="18.83203125" style="245" customWidth="1"/>
    <col min="1033" max="1033" width="2.83203125" style="245" customWidth="1"/>
    <col min="1034" max="1282" width="9.33203125" style="245"/>
    <col min="1283" max="1283" width="2.83203125" style="245" customWidth="1"/>
    <col min="1284" max="1284" width="36.83203125" style="245" customWidth="1"/>
    <col min="1285" max="1285" width="2.83203125" style="245" customWidth="1"/>
    <col min="1286" max="1286" width="18.83203125" style="245" customWidth="1"/>
    <col min="1287" max="1287" width="2.83203125" style="245" customWidth="1"/>
    <col min="1288" max="1288" width="18.83203125" style="245" customWidth="1"/>
    <col min="1289" max="1289" width="2.83203125" style="245" customWidth="1"/>
    <col min="1290" max="1538" width="9.33203125" style="245"/>
    <col min="1539" max="1539" width="2.83203125" style="245" customWidth="1"/>
    <col min="1540" max="1540" width="36.83203125" style="245" customWidth="1"/>
    <col min="1541" max="1541" width="2.83203125" style="245" customWidth="1"/>
    <col min="1542" max="1542" width="18.83203125" style="245" customWidth="1"/>
    <col min="1543" max="1543" width="2.83203125" style="245" customWidth="1"/>
    <col min="1544" max="1544" width="18.83203125" style="245" customWidth="1"/>
    <col min="1545" max="1545" width="2.83203125" style="245" customWidth="1"/>
    <col min="1546" max="1794" width="9.33203125" style="245"/>
    <col min="1795" max="1795" width="2.83203125" style="245" customWidth="1"/>
    <col min="1796" max="1796" width="36.83203125" style="245" customWidth="1"/>
    <col min="1797" max="1797" width="2.83203125" style="245" customWidth="1"/>
    <col min="1798" max="1798" width="18.83203125" style="245" customWidth="1"/>
    <col min="1799" max="1799" width="2.83203125" style="245" customWidth="1"/>
    <col min="1800" max="1800" width="18.83203125" style="245" customWidth="1"/>
    <col min="1801" max="1801" width="2.83203125" style="245" customWidth="1"/>
    <col min="1802" max="2050" width="9.33203125" style="245"/>
    <col min="2051" max="2051" width="2.83203125" style="245" customWidth="1"/>
    <col min="2052" max="2052" width="36.83203125" style="245" customWidth="1"/>
    <col min="2053" max="2053" width="2.83203125" style="245" customWidth="1"/>
    <col min="2054" max="2054" width="18.83203125" style="245" customWidth="1"/>
    <col min="2055" max="2055" width="2.83203125" style="245" customWidth="1"/>
    <col min="2056" max="2056" width="18.83203125" style="245" customWidth="1"/>
    <col min="2057" max="2057" width="2.83203125" style="245" customWidth="1"/>
    <col min="2058" max="2306" width="9.33203125" style="245"/>
    <col min="2307" max="2307" width="2.83203125" style="245" customWidth="1"/>
    <col min="2308" max="2308" width="36.83203125" style="245" customWidth="1"/>
    <col min="2309" max="2309" width="2.83203125" style="245" customWidth="1"/>
    <col min="2310" max="2310" width="18.83203125" style="245" customWidth="1"/>
    <col min="2311" max="2311" width="2.83203125" style="245" customWidth="1"/>
    <col min="2312" max="2312" width="18.83203125" style="245" customWidth="1"/>
    <col min="2313" max="2313" width="2.83203125" style="245" customWidth="1"/>
    <col min="2314" max="2562" width="9.33203125" style="245"/>
    <col min="2563" max="2563" width="2.83203125" style="245" customWidth="1"/>
    <col min="2564" max="2564" width="36.83203125" style="245" customWidth="1"/>
    <col min="2565" max="2565" width="2.83203125" style="245" customWidth="1"/>
    <col min="2566" max="2566" width="18.83203125" style="245" customWidth="1"/>
    <col min="2567" max="2567" width="2.83203125" style="245" customWidth="1"/>
    <col min="2568" max="2568" width="18.83203125" style="245" customWidth="1"/>
    <col min="2569" max="2569" width="2.83203125" style="245" customWidth="1"/>
    <col min="2570" max="2818" width="9.33203125" style="245"/>
    <col min="2819" max="2819" width="2.83203125" style="245" customWidth="1"/>
    <col min="2820" max="2820" width="36.83203125" style="245" customWidth="1"/>
    <col min="2821" max="2821" width="2.83203125" style="245" customWidth="1"/>
    <col min="2822" max="2822" width="18.83203125" style="245" customWidth="1"/>
    <col min="2823" max="2823" width="2.83203125" style="245" customWidth="1"/>
    <col min="2824" max="2824" width="18.83203125" style="245" customWidth="1"/>
    <col min="2825" max="2825" width="2.83203125" style="245" customWidth="1"/>
    <col min="2826" max="3074" width="9.33203125" style="245"/>
    <col min="3075" max="3075" width="2.83203125" style="245" customWidth="1"/>
    <col min="3076" max="3076" width="36.83203125" style="245" customWidth="1"/>
    <col min="3077" max="3077" width="2.83203125" style="245" customWidth="1"/>
    <col min="3078" max="3078" width="18.83203125" style="245" customWidth="1"/>
    <col min="3079" max="3079" width="2.83203125" style="245" customWidth="1"/>
    <col min="3080" max="3080" width="18.83203125" style="245" customWidth="1"/>
    <col min="3081" max="3081" width="2.83203125" style="245" customWidth="1"/>
    <col min="3082" max="3330" width="9.33203125" style="245"/>
    <col min="3331" max="3331" width="2.83203125" style="245" customWidth="1"/>
    <col min="3332" max="3332" width="36.83203125" style="245" customWidth="1"/>
    <col min="3333" max="3333" width="2.83203125" style="245" customWidth="1"/>
    <col min="3334" max="3334" width="18.83203125" style="245" customWidth="1"/>
    <col min="3335" max="3335" width="2.83203125" style="245" customWidth="1"/>
    <col min="3336" max="3336" width="18.83203125" style="245" customWidth="1"/>
    <col min="3337" max="3337" width="2.83203125" style="245" customWidth="1"/>
    <col min="3338" max="3586" width="9.33203125" style="245"/>
    <col min="3587" max="3587" width="2.83203125" style="245" customWidth="1"/>
    <col min="3588" max="3588" width="36.83203125" style="245" customWidth="1"/>
    <col min="3589" max="3589" width="2.83203125" style="245" customWidth="1"/>
    <col min="3590" max="3590" width="18.83203125" style="245" customWidth="1"/>
    <col min="3591" max="3591" width="2.83203125" style="245" customWidth="1"/>
    <col min="3592" max="3592" width="18.83203125" style="245" customWidth="1"/>
    <col min="3593" max="3593" width="2.83203125" style="245" customWidth="1"/>
    <col min="3594" max="3842" width="9.33203125" style="245"/>
    <col min="3843" max="3843" width="2.83203125" style="245" customWidth="1"/>
    <col min="3844" max="3844" width="36.83203125" style="245" customWidth="1"/>
    <col min="3845" max="3845" width="2.83203125" style="245" customWidth="1"/>
    <col min="3846" max="3846" width="18.83203125" style="245" customWidth="1"/>
    <col min="3847" max="3847" width="2.83203125" style="245" customWidth="1"/>
    <col min="3848" max="3848" width="18.83203125" style="245" customWidth="1"/>
    <col min="3849" max="3849" width="2.83203125" style="245" customWidth="1"/>
    <col min="3850" max="4098" width="9.33203125" style="245"/>
    <col min="4099" max="4099" width="2.83203125" style="245" customWidth="1"/>
    <col min="4100" max="4100" width="36.83203125" style="245" customWidth="1"/>
    <col min="4101" max="4101" width="2.83203125" style="245" customWidth="1"/>
    <col min="4102" max="4102" width="18.83203125" style="245" customWidth="1"/>
    <col min="4103" max="4103" width="2.83203125" style="245" customWidth="1"/>
    <col min="4104" max="4104" width="18.83203125" style="245" customWidth="1"/>
    <col min="4105" max="4105" width="2.83203125" style="245" customWidth="1"/>
    <col min="4106" max="4354" width="9.33203125" style="245"/>
    <col min="4355" max="4355" width="2.83203125" style="245" customWidth="1"/>
    <col min="4356" max="4356" width="36.83203125" style="245" customWidth="1"/>
    <col min="4357" max="4357" width="2.83203125" style="245" customWidth="1"/>
    <col min="4358" max="4358" width="18.83203125" style="245" customWidth="1"/>
    <col min="4359" max="4359" width="2.83203125" style="245" customWidth="1"/>
    <col min="4360" max="4360" width="18.83203125" style="245" customWidth="1"/>
    <col min="4361" max="4361" width="2.83203125" style="245" customWidth="1"/>
    <col min="4362" max="4610" width="9.33203125" style="245"/>
    <col min="4611" max="4611" width="2.83203125" style="245" customWidth="1"/>
    <col min="4612" max="4612" width="36.83203125" style="245" customWidth="1"/>
    <col min="4613" max="4613" width="2.83203125" style="245" customWidth="1"/>
    <col min="4614" max="4614" width="18.83203125" style="245" customWidth="1"/>
    <col min="4615" max="4615" width="2.83203125" style="245" customWidth="1"/>
    <col min="4616" max="4616" width="18.83203125" style="245" customWidth="1"/>
    <col min="4617" max="4617" width="2.83203125" style="245" customWidth="1"/>
    <col min="4618" max="4866" width="9.33203125" style="245"/>
    <col min="4867" max="4867" width="2.83203125" style="245" customWidth="1"/>
    <col min="4868" max="4868" width="36.83203125" style="245" customWidth="1"/>
    <col min="4869" max="4869" width="2.83203125" style="245" customWidth="1"/>
    <col min="4870" max="4870" width="18.83203125" style="245" customWidth="1"/>
    <col min="4871" max="4871" width="2.83203125" style="245" customWidth="1"/>
    <col min="4872" max="4872" width="18.83203125" style="245" customWidth="1"/>
    <col min="4873" max="4873" width="2.83203125" style="245" customWidth="1"/>
    <col min="4874" max="5122" width="9.33203125" style="245"/>
    <col min="5123" max="5123" width="2.83203125" style="245" customWidth="1"/>
    <col min="5124" max="5124" width="36.83203125" style="245" customWidth="1"/>
    <col min="5125" max="5125" width="2.83203125" style="245" customWidth="1"/>
    <col min="5126" max="5126" width="18.83203125" style="245" customWidth="1"/>
    <col min="5127" max="5127" width="2.83203125" style="245" customWidth="1"/>
    <col min="5128" max="5128" width="18.83203125" style="245" customWidth="1"/>
    <col min="5129" max="5129" width="2.83203125" style="245" customWidth="1"/>
    <col min="5130" max="5378" width="9.33203125" style="245"/>
    <col min="5379" max="5379" width="2.83203125" style="245" customWidth="1"/>
    <col min="5380" max="5380" width="36.83203125" style="245" customWidth="1"/>
    <col min="5381" max="5381" width="2.83203125" style="245" customWidth="1"/>
    <col min="5382" max="5382" width="18.83203125" style="245" customWidth="1"/>
    <col min="5383" max="5383" width="2.83203125" style="245" customWidth="1"/>
    <col min="5384" max="5384" width="18.83203125" style="245" customWidth="1"/>
    <col min="5385" max="5385" width="2.83203125" style="245" customWidth="1"/>
    <col min="5386" max="5634" width="9.33203125" style="245"/>
    <col min="5635" max="5635" width="2.83203125" style="245" customWidth="1"/>
    <col min="5636" max="5636" width="36.83203125" style="245" customWidth="1"/>
    <col min="5637" max="5637" width="2.83203125" style="245" customWidth="1"/>
    <col min="5638" max="5638" width="18.83203125" style="245" customWidth="1"/>
    <col min="5639" max="5639" width="2.83203125" style="245" customWidth="1"/>
    <col min="5640" max="5640" width="18.83203125" style="245" customWidth="1"/>
    <col min="5641" max="5641" width="2.83203125" style="245" customWidth="1"/>
    <col min="5642" max="5890" width="9.33203125" style="245"/>
    <col min="5891" max="5891" width="2.83203125" style="245" customWidth="1"/>
    <col min="5892" max="5892" width="36.83203125" style="245" customWidth="1"/>
    <col min="5893" max="5893" width="2.83203125" style="245" customWidth="1"/>
    <col min="5894" max="5894" width="18.83203125" style="245" customWidth="1"/>
    <col min="5895" max="5895" width="2.83203125" style="245" customWidth="1"/>
    <col min="5896" max="5896" width="18.83203125" style="245" customWidth="1"/>
    <col min="5897" max="5897" width="2.83203125" style="245" customWidth="1"/>
    <col min="5898" max="6146" width="9.33203125" style="245"/>
    <col min="6147" max="6147" width="2.83203125" style="245" customWidth="1"/>
    <col min="6148" max="6148" width="36.83203125" style="245" customWidth="1"/>
    <col min="6149" max="6149" width="2.83203125" style="245" customWidth="1"/>
    <col min="6150" max="6150" width="18.83203125" style="245" customWidth="1"/>
    <col min="6151" max="6151" width="2.83203125" style="245" customWidth="1"/>
    <col min="6152" max="6152" width="18.83203125" style="245" customWidth="1"/>
    <col min="6153" max="6153" width="2.83203125" style="245" customWidth="1"/>
    <col min="6154" max="6402" width="9.33203125" style="245"/>
    <col min="6403" max="6403" width="2.83203125" style="245" customWidth="1"/>
    <col min="6404" max="6404" width="36.83203125" style="245" customWidth="1"/>
    <col min="6405" max="6405" width="2.83203125" style="245" customWidth="1"/>
    <col min="6406" max="6406" width="18.83203125" style="245" customWidth="1"/>
    <col min="6407" max="6407" width="2.83203125" style="245" customWidth="1"/>
    <col min="6408" max="6408" width="18.83203125" style="245" customWidth="1"/>
    <col min="6409" max="6409" width="2.83203125" style="245" customWidth="1"/>
    <col min="6410" max="6658" width="9.33203125" style="245"/>
    <col min="6659" max="6659" width="2.83203125" style="245" customWidth="1"/>
    <col min="6660" max="6660" width="36.83203125" style="245" customWidth="1"/>
    <col min="6661" max="6661" width="2.83203125" style="245" customWidth="1"/>
    <col min="6662" max="6662" width="18.83203125" style="245" customWidth="1"/>
    <col min="6663" max="6663" width="2.83203125" style="245" customWidth="1"/>
    <col min="6664" max="6664" width="18.83203125" style="245" customWidth="1"/>
    <col min="6665" max="6665" width="2.83203125" style="245" customWidth="1"/>
    <col min="6666" max="6914" width="9.33203125" style="245"/>
    <col min="6915" max="6915" width="2.83203125" style="245" customWidth="1"/>
    <col min="6916" max="6916" width="36.83203125" style="245" customWidth="1"/>
    <col min="6917" max="6917" width="2.83203125" style="245" customWidth="1"/>
    <col min="6918" max="6918" width="18.83203125" style="245" customWidth="1"/>
    <col min="6919" max="6919" width="2.83203125" style="245" customWidth="1"/>
    <col min="6920" max="6920" width="18.83203125" style="245" customWidth="1"/>
    <col min="6921" max="6921" width="2.83203125" style="245" customWidth="1"/>
    <col min="6922" max="7170" width="9.33203125" style="245"/>
    <col min="7171" max="7171" width="2.83203125" style="245" customWidth="1"/>
    <col min="7172" max="7172" width="36.83203125" style="245" customWidth="1"/>
    <col min="7173" max="7173" width="2.83203125" style="245" customWidth="1"/>
    <col min="7174" max="7174" width="18.83203125" style="245" customWidth="1"/>
    <col min="7175" max="7175" width="2.83203125" style="245" customWidth="1"/>
    <col min="7176" max="7176" width="18.83203125" style="245" customWidth="1"/>
    <col min="7177" max="7177" width="2.83203125" style="245" customWidth="1"/>
    <col min="7178" max="7426" width="9.33203125" style="245"/>
    <col min="7427" max="7427" width="2.83203125" style="245" customWidth="1"/>
    <col min="7428" max="7428" width="36.83203125" style="245" customWidth="1"/>
    <col min="7429" max="7429" width="2.83203125" style="245" customWidth="1"/>
    <col min="7430" max="7430" width="18.83203125" style="245" customWidth="1"/>
    <col min="7431" max="7431" width="2.83203125" style="245" customWidth="1"/>
    <col min="7432" max="7432" width="18.83203125" style="245" customWidth="1"/>
    <col min="7433" max="7433" width="2.83203125" style="245" customWidth="1"/>
    <col min="7434" max="7682" width="9.33203125" style="245"/>
    <col min="7683" max="7683" width="2.83203125" style="245" customWidth="1"/>
    <col min="7684" max="7684" width="36.83203125" style="245" customWidth="1"/>
    <col min="7685" max="7685" width="2.83203125" style="245" customWidth="1"/>
    <col min="7686" max="7686" width="18.83203125" style="245" customWidth="1"/>
    <col min="7687" max="7687" width="2.83203125" style="245" customWidth="1"/>
    <col min="7688" max="7688" width="18.83203125" style="245" customWidth="1"/>
    <col min="7689" max="7689" width="2.83203125" style="245" customWidth="1"/>
    <col min="7690" max="7938" width="9.33203125" style="245"/>
    <col min="7939" max="7939" width="2.83203125" style="245" customWidth="1"/>
    <col min="7940" max="7940" width="36.83203125" style="245" customWidth="1"/>
    <col min="7941" max="7941" width="2.83203125" style="245" customWidth="1"/>
    <col min="7942" max="7942" width="18.83203125" style="245" customWidth="1"/>
    <col min="7943" max="7943" width="2.83203125" style="245" customWidth="1"/>
    <col min="7944" max="7944" width="18.83203125" style="245" customWidth="1"/>
    <col min="7945" max="7945" width="2.83203125" style="245" customWidth="1"/>
    <col min="7946" max="8194" width="9.33203125" style="245"/>
    <col min="8195" max="8195" width="2.83203125" style="245" customWidth="1"/>
    <col min="8196" max="8196" width="36.83203125" style="245" customWidth="1"/>
    <col min="8197" max="8197" width="2.83203125" style="245" customWidth="1"/>
    <col min="8198" max="8198" width="18.83203125" style="245" customWidth="1"/>
    <col min="8199" max="8199" width="2.83203125" style="245" customWidth="1"/>
    <col min="8200" max="8200" width="18.83203125" style="245" customWidth="1"/>
    <col min="8201" max="8201" width="2.83203125" style="245" customWidth="1"/>
    <col min="8202" max="8450" width="9.33203125" style="245"/>
    <col min="8451" max="8451" width="2.83203125" style="245" customWidth="1"/>
    <col min="8452" max="8452" width="36.83203125" style="245" customWidth="1"/>
    <col min="8453" max="8453" width="2.83203125" style="245" customWidth="1"/>
    <col min="8454" max="8454" width="18.83203125" style="245" customWidth="1"/>
    <col min="8455" max="8455" width="2.83203125" style="245" customWidth="1"/>
    <col min="8456" max="8456" width="18.83203125" style="245" customWidth="1"/>
    <col min="8457" max="8457" width="2.83203125" style="245" customWidth="1"/>
    <col min="8458" max="8706" width="9.33203125" style="245"/>
    <col min="8707" max="8707" width="2.83203125" style="245" customWidth="1"/>
    <col min="8708" max="8708" width="36.83203125" style="245" customWidth="1"/>
    <col min="8709" max="8709" width="2.83203125" style="245" customWidth="1"/>
    <col min="8710" max="8710" width="18.83203125" style="245" customWidth="1"/>
    <col min="8711" max="8711" width="2.83203125" style="245" customWidth="1"/>
    <col min="8712" max="8712" width="18.83203125" style="245" customWidth="1"/>
    <col min="8713" max="8713" width="2.83203125" style="245" customWidth="1"/>
    <col min="8714" max="8962" width="9.33203125" style="245"/>
    <col min="8963" max="8963" width="2.83203125" style="245" customWidth="1"/>
    <col min="8964" max="8964" width="36.83203125" style="245" customWidth="1"/>
    <col min="8965" max="8965" width="2.83203125" style="245" customWidth="1"/>
    <col min="8966" max="8966" width="18.83203125" style="245" customWidth="1"/>
    <col min="8967" max="8967" width="2.83203125" style="245" customWidth="1"/>
    <col min="8968" max="8968" width="18.83203125" style="245" customWidth="1"/>
    <col min="8969" max="8969" width="2.83203125" style="245" customWidth="1"/>
    <col min="8970" max="9218" width="9.33203125" style="245"/>
    <col min="9219" max="9219" width="2.83203125" style="245" customWidth="1"/>
    <col min="9220" max="9220" width="36.83203125" style="245" customWidth="1"/>
    <col min="9221" max="9221" width="2.83203125" style="245" customWidth="1"/>
    <col min="9222" max="9222" width="18.83203125" style="245" customWidth="1"/>
    <col min="9223" max="9223" width="2.83203125" style="245" customWidth="1"/>
    <col min="9224" max="9224" width="18.83203125" style="245" customWidth="1"/>
    <col min="9225" max="9225" width="2.83203125" style="245" customWidth="1"/>
    <col min="9226" max="9474" width="9.33203125" style="245"/>
    <col min="9475" max="9475" width="2.83203125" style="245" customWidth="1"/>
    <col min="9476" max="9476" width="36.83203125" style="245" customWidth="1"/>
    <col min="9477" max="9477" width="2.83203125" style="245" customWidth="1"/>
    <col min="9478" max="9478" width="18.83203125" style="245" customWidth="1"/>
    <col min="9479" max="9479" width="2.83203125" style="245" customWidth="1"/>
    <col min="9480" max="9480" width="18.83203125" style="245" customWidth="1"/>
    <col min="9481" max="9481" width="2.83203125" style="245" customWidth="1"/>
    <col min="9482" max="9730" width="9.33203125" style="245"/>
    <col min="9731" max="9731" width="2.83203125" style="245" customWidth="1"/>
    <col min="9732" max="9732" width="36.83203125" style="245" customWidth="1"/>
    <col min="9733" max="9733" width="2.83203125" style="245" customWidth="1"/>
    <col min="9734" max="9734" width="18.83203125" style="245" customWidth="1"/>
    <col min="9735" max="9735" width="2.83203125" style="245" customWidth="1"/>
    <col min="9736" max="9736" width="18.83203125" style="245" customWidth="1"/>
    <col min="9737" max="9737" width="2.83203125" style="245" customWidth="1"/>
    <col min="9738" max="9986" width="9.33203125" style="245"/>
    <col min="9987" max="9987" width="2.83203125" style="245" customWidth="1"/>
    <col min="9988" max="9988" width="36.83203125" style="245" customWidth="1"/>
    <col min="9989" max="9989" width="2.83203125" style="245" customWidth="1"/>
    <col min="9990" max="9990" width="18.83203125" style="245" customWidth="1"/>
    <col min="9991" max="9991" width="2.83203125" style="245" customWidth="1"/>
    <col min="9992" max="9992" width="18.83203125" style="245" customWidth="1"/>
    <col min="9993" max="9993" width="2.83203125" style="245" customWidth="1"/>
    <col min="9994" max="10242" width="9.33203125" style="245"/>
    <col min="10243" max="10243" width="2.83203125" style="245" customWidth="1"/>
    <col min="10244" max="10244" width="36.83203125" style="245" customWidth="1"/>
    <col min="10245" max="10245" width="2.83203125" style="245" customWidth="1"/>
    <col min="10246" max="10246" width="18.83203125" style="245" customWidth="1"/>
    <col min="10247" max="10247" width="2.83203125" style="245" customWidth="1"/>
    <col min="10248" max="10248" width="18.83203125" style="245" customWidth="1"/>
    <col min="10249" max="10249" width="2.83203125" style="245" customWidth="1"/>
    <col min="10250" max="10498" width="9.33203125" style="245"/>
    <col min="10499" max="10499" width="2.83203125" style="245" customWidth="1"/>
    <col min="10500" max="10500" width="36.83203125" style="245" customWidth="1"/>
    <col min="10501" max="10501" width="2.83203125" style="245" customWidth="1"/>
    <col min="10502" max="10502" width="18.83203125" style="245" customWidth="1"/>
    <col min="10503" max="10503" width="2.83203125" style="245" customWidth="1"/>
    <col min="10504" max="10504" width="18.83203125" style="245" customWidth="1"/>
    <col min="10505" max="10505" width="2.83203125" style="245" customWidth="1"/>
    <col min="10506" max="10754" width="9.33203125" style="245"/>
    <col min="10755" max="10755" width="2.83203125" style="245" customWidth="1"/>
    <col min="10756" max="10756" width="36.83203125" style="245" customWidth="1"/>
    <col min="10757" max="10757" width="2.83203125" style="245" customWidth="1"/>
    <col min="10758" max="10758" width="18.83203125" style="245" customWidth="1"/>
    <col min="10759" max="10759" width="2.83203125" style="245" customWidth="1"/>
    <col min="10760" max="10760" width="18.83203125" style="245" customWidth="1"/>
    <col min="10761" max="10761" width="2.83203125" style="245" customWidth="1"/>
    <col min="10762" max="11010" width="9.33203125" style="245"/>
    <col min="11011" max="11011" width="2.83203125" style="245" customWidth="1"/>
    <col min="11012" max="11012" width="36.83203125" style="245" customWidth="1"/>
    <col min="11013" max="11013" width="2.83203125" style="245" customWidth="1"/>
    <col min="11014" max="11014" width="18.83203125" style="245" customWidth="1"/>
    <col min="11015" max="11015" width="2.83203125" style="245" customWidth="1"/>
    <col min="11016" max="11016" width="18.83203125" style="245" customWidth="1"/>
    <col min="11017" max="11017" width="2.83203125" style="245" customWidth="1"/>
    <col min="11018" max="11266" width="9.33203125" style="245"/>
    <col min="11267" max="11267" width="2.83203125" style="245" customWidth="1"/>
    <col min="11268" max="11268" width="36.83203125" style="245" customWidth="1"/>
    <col min="11269" max="11269" width="2.83203125" style="245" customWidth="1"/>
    <col min="11270" max="11270" width="18.83203125" style="245" customWidth="1"/>
    <col min="11271" max="11271" width="2.83203125" style="245" customWidth="1"/>
    <col min="11272" max="11272" width="18.83203125" style="245" customWidth="1"/>
    <col min="11273" max="11273" width="2.83203125" style="245" customWidth="1"/>
    <col min="11274" max="11522" width="9.33203125" style="245"/>
    <col min="11523" max="11523" width="2.83203125" style="245" customWidth="1"/>
    <col min="11524" max="11524" width="36.83203125" style="245" customWidth="1"/>
    <col min="11525" max="11525" width="2.83203125" style="245" customWidth="1"/>
    <col min="11526" max="11526" width="18.83203125" style="245" customWidth="1"/>
    <col min="11527" max="11527" width="2.83203125" style="245" customWidth="1"/>
    <col min="11528" max="11528" width="18.83203125" style="245" customWidth="1"/>
    <col min="11529" max="11529" width="2.83203125" style="245" customWidth="1"/>
    <col min="11530" max="11778" width="9.33203125" style="245"/>
    <col min="11779" max="11779" width="2.83203125" style="245" customWidth="1"/>
    <col min="11780" max="11780" width="36.83203125" style="245" customWidth="1"/>
    <col min="11781" max="11781" width="2.83203125" style="245" customWidth="1"/>
    <col min="11782" max="11782" width="18.83203125" style="245" customWidth="1"/>
    <col min="11783" max="11783" width="2.83203125" style="245" customWidth="1"/>
    <col min="11784" max="11784" width="18.83203125" style="245" customWidth="1"/>
    <col min="11785" max="11785" width="2.83203125" style="245" customWidth="1"/>
    <col min="11786" max="12034" width="9.33203125" style="245"/>
    <col min="12035" max="12035" width="2.83203125" style="245" customWidth="1"/>
    <col min="12036" max="12036" width="36.83203125" style="245" customWidth="1"/>
    <col min="12037" max="12037" width="2.83203125" style="245" customWidth="1"/>
    <col min="12038" max="12038" width="18.83203125" style="245" customWidth="1"/>
    <col min="12039" max="12039" width="2.83203125" style="245" customWidth="1"/>
    <col min="12040" max="12040" width="18.83203125" style="245" customWidth="1"/>
    <col min="12041" max="12041" width="2.83203125" style="245" customWidth="1"/>
    <col min="12042" max="12290" width="9.33203125" style="245"/>
    <col min="12291" max="12291" width="2.83203125" style="245" customWidth="1"/>
    <col min="12292" max="12292" width="36.83203125" style="245" customWidth="1"/>
    <col min="12293" max="12293" width="2.83203125" style="245" customWidth="1"/>
    <col min="12294" max="12294" width="18.83203125" style="245" customWidth="1"/>
    <col min="12295" max="12295" width="2.83203125" style="245" customWidth="1"/>
    <col min="12296" max="12296" width="18.83203125" style="245" customWidth="1"/>
    <col min="12297" max="12297" width="2.83203125" style="245" customWidth="1"/>
    <col min="12298" max="12546" width="9.33203125" style="245"/>
    <col min="12547" max="12547" width="2.83203125" style="245" customWidth="1"/>
    <col min="12548" max="12548" width="36.83203125" style="245" customWidth="1"/>
    <col min="12549" max="12549" width="2.83203125" style="245" customWidth="1"/>
    <col min="12550" max="12550" width="18.83203125" style="245" customWidth="1"/>
    <col min="12551" max="12551" width="2.83203125" style="245" customWidth="1"/>
    <col min="12552" max="12552" width="18.83203125" style="245" customWidth="1"/>
    <col min="12553" max="12553" width="2.83203125" style="245" customWidth="1"/>
    <col min="12554" max="12802" width="9.33203125" style="245"/>
    <col min="12803" max="12803" width="2.83203125" style="245" customWidth="1"/>
    <col min="12804" max="12804" width="36.83203125" style="245" customWidth="1"/>
    <col min="12805" max="12805" width="2.83203125" style="245" customWidth="1"/>
    <col min="12806" max="12806" width="18.83203125" style="245" customWidth="1"/>
    <col min="12807" max="12807" width="2.83203125" style="245" customWidth="1"/>
    <col min="12808" max="12808" width="18.83203125" style="245" customWidth="1"/>
    <col min="12809" max="12809" width="2.83203125" style="245" customWidth="1"/>
    <col min="12810" max="13058" width="9.33203125" style="245"/>
    <col min="13059" max="13059" width="2.83203125" style="245" customWidth="1"/>
    <col min="13060" max="13060" width="36.83203125" style="245" customWidth="1"/>
    <col min="13061" max="13061" width="2.83203125" style="245" customWidth="1"/>
    <col min="13062" max="13062" width="18.83203125" style="245" customWidth="1"/>
    <col min="13063" max="13063" width="2.83203125" style="245" customWidth="1"/>
    <col min="13064" max="13064" width="18.83203125" style="245" customWidth="1"/>
    <col min="13065" max="13065" width="2.83203125" style="245" customWidth="1"/>
    <col min="13066" max="13314" width="9.33203125" style="245"/>
    <col min="13315" max="13315" width="2.83203125" style="245" customWidth="1"/>
    <col min="13316" max="13316" width="36.83203125" style="245" customWidth="1"/>
    <col min="13317" max="13317" width="2.83203125" style="245" customWidth="1"/>
    <col min="13318" max="13318" width="18.83203125" style="245" customWidth="1"/>
    <col min="13319" max="13319" width="2.83203125" style="245" customWidth="1"/>
    <col min="13320" max="13320" width="18.83203125" style="245" customWidth="1"/>
    <col min="13321" max="13321" width="2.83203125" style="245" customWidth="1"/>
    <col min="13322" max="13570" width="9.33203125" style="245"/>
    <col min="13571" max="13571" width="2.83203125" style="245" customWidth="1"/>
    <col min="13572" max="13572" width="36.83203125" style="245" customWidth="1"/>
    <col min="13573" max="13573" width="2.83203125" style="245" customWidth="1"/>
    <col min="13574" max="13574" width="18.83203125" style="245" customWidth="1"/>
    <col min="13575" max="13575" width="2.83203125" style="245" customWidth="1"/>
    <col min="13576" max="13576" width="18.83203125" style="245" customWidth="1"/>
    <col min="13577" max="13577" width="2.83203125" style="245" customWidth="1"/>
    <col min="13578" max="13826" width="9.33203125" style="245"/>
    <col min="13827" max="13827" width="2.83203125" style="245" customWidth="1"/>
    <col min="13828" max="13828" width="36.83203125" style="245" customWidth="1"/>
    <col min="13829" max="13829" width="2.83203125" style="245" customWidth="1"/>
    <col min="13830" max="13830" width="18.83203125" style="245" customWidth="1"/>
    <col min="13831" max="13831" width="2.83203125" style="245" customWidth="1"/>
    <col min="13832" max="13832" width="18.83203125" style="245" customWidth="1"/>
    <col min="13833" max="13833" width="2.83203125" style="245" customWidth="1"/>
    <col min="13834" max="14082" width="9.33203125" style="245"/>
    <col min="14083" max="14083" width="2.83203125" style="245" customWidth="1"/>
    <col min="14084" max="14084" width="36.83203125" style="245" customWidth="1"/>
    <col min="14085" max="14085" width="2.83203125" style="245" customWidth="1"/>
    <col min="14086" max="14086" width="18.83203125" style="245" customWidth="1"/>
    <col min="14087" max="14087" width="2.83203125" style="245" customWidth="1"/>
    <col min="14088" max="14088" width="18.83203125" style="245" customWidth="1"/>
    <col min="14089" max="14089" width="2.83203125" style="245" customWidth="1"/>
    <col min="14090" max="14338" width="9.33203125" style="245"/>
    <col min="14339" max="14339" width="2.83203125" style="245" customWidth="1"/>
    <col min="14340" max="14340" width="36.83203125" style="245" customWidth="1"/>
    <col min="14341" max="14341" width="2.83203125" style="245" customWidth="1"/>
    <col min="14342" max="14342" width="18.83203125" style="245" customWidth="1"/>
    <col min="14343" max="14343" width="2.83203125" style="245" customWidth="1"/>
    <col min="14344" max="14344" width="18.83203125" style="245" customWidth="1"/>
    <col min="14345" max="14345" width="2.83203125" style="245" customWidth="1"/>
    <col min="14346" max="14594" width="9.33203125" style="245"/>
    <col min="14595" max="14595" width="2.83203125" style="245" customWidth="1"/>
    <col min="14596" max="14596" width="36.83203125" style="245" customWidth="1"/>
    <col min="14597" max="14597" width="2.83203125" style="245" customWidth="1"/>
    <col min="14598" max="14598" width="18.83203125" style="245" customWidth="1"/>
    <col min="14599" max="14599" width="2.83203125" style="245" customWidth="1"/>
    <col min="14600" max="14600" width="18.83203125" style="245" customWidth="1"/>
    <col min="14601" max="14601" width="2.83203125" style="245" customWidth="1"/>
    <col min="14602" max="14850" width="9.33203125" style="245"/>
    <col min="14851" max="14851" width="2.83203125" style="245" customWidth="1"/>
    <col min="14852" max="14852" width="36.83203125" style="245" customWidth="1"/>
    <col min="14853" max="14853" width="2.83203125" style="245" customWidth="1"/>
    <col min="14854" max="14854" width="18.83203125" style="245" customWidth="1"/>
    <col min="14855" max="14855" width="2.83203125" style="245" customWidth="1"/>
    <col min="14856" max="14856" width="18.83203125" style="245" customWidth="1"/>
    <col min="14857" max="14857" width="2.83203125" style="245" customWidth="1"/>
    <col min="14858" max="15106" width="9.33203125" style="245"/>
    <col min="15107" max="15107" width="2.83203125" style="245" customWidth="1"/>
    <col min="15108" max="15108" width="36.83203125" style="245" customWidth="1"/>
    <col min="15109" max="15109" width="2.83203125" style="245" customWidth="1"/>
    <col min="15110" max="15110" width="18.83203125" style="245" customWidth="1"/>
    <col min="15111" max="15111" width="2.83203125" style="245" customWidth="1"/>
    <col min="15112" max="15112" width="18.83203125" style="245" customWidth="1"/>
    <col min="15113" max="15113" width="2.83203125" style="245" customWidth="1"/>
    <col min="15114" max="15362" width="9.33203125" style="245"/>
    <col min="15363" max="15363" width="2.83203125" style="245" customWidth="1"/>
    <col min="15364" max="15364" width="36.83203125" style="245" customWidth="1"/>
    <col min="15365" max="15365" width="2.83203125" style="245" customWidth="1"/>
    <col min="15366" max="15366" width="18.83203125" style="245" customWidth="1"/>
    <col min="15367" max="15367" width="2.83203125" style="245" customWidth="1"/>
    <col min="15368" max="15368" width="18.83203125" style="245" customWidth="1"/>
    <col min="15369" max="15369" width="2.83203125" style="245" customWidth="1"/>
    <col min="15370" max="15618" width="9.33203125" style="245"/>
    <col min="15619" max="15619" width="2.83203125" style="245" customWidth="1"/>
    <col min="15620" max="15620" width="36.83203125" style="245" customWidth="1"/>
    <col min="15621" max="15621" width="2.83203125" style="245" customWidth="1"/>
    <col min="15622" max="15622" width="18.83203125" style="245" customWidth="1"/>
    <col min="15623" max="15623" width="2.83203125" style="245" customWidth="1"/>
    <col min="15624" max="15624" width="18.83203125" style="245" customWidth="1"/>
    <col min="15625" max="15625" width="2.83203125" style="245" customWidth="1"/>
    <col min="15626" max="15874" width="9.33203125" style="245"/>
    <col min="15875" max="15875" width="2.83203125" style="245" customWidth="1"/>
    <col min="15876" max="15876" width="36.83203125" style="245" customWidth="1"/>
    <col min="15877" max="15877" width="2.83203125" style="245" customWidth="1"/>
    <col min="15878" max="15878" width="18.83203125" style="245" customWidth="1"/>
    <col min="15879" max="15879" width="2.83203125" style="245" customWidth="1"/>
    <col min="15880" max="15880" width="18.83203125" style="245" customWidth="1"/>
    <col min="15881" max="15881" width="2.83203125" style="245" customWidth="1"/>
    <col min="15882" max="16130" width="9.33203125" style="245"/>
    <col min="16131" max="16131" width="2.83203125" style="245" customWidth="1"/>
    <col min="16132" max="16132" width="36.83203125" style="245" customWidth="1"/>
    <col min="16133" max="16133" width="2.83203125" style="245" customWidth="1"/>
    <col min="16134" max="16134" width="18.83203125" style="245" customWidth="1"/>
    <col min="16135" max="16135" width="2.83203125" style="245" customWidth="1"/>
    <col min="16136" max="16136" width="18.83203125" style="245" customWidth="1"/>
    <col min="16137" max="16137" width="2.83203125" style="245" customWidth="1"/>
    <col min="16138" max="16384" width="9.33203125" style="245"/>
  </cols>
  <sheetData>
    <row r="1" spans="1:10" x14ac:dyDescent="0.2">
      <c r="A1" s="242"/>
      <c r="B1" s="243"/>
      <c r="C1" s="243"/>
      <c r="D1" s="243"/>
      <c r="E1" s="243"/>
      <c r="F1" s="243"/>
      <c r="G1" s="243"/>
      <c r="H1" s="243"/>
      <c r="I1" s="244"/>
    </row>
    <row r="2" spans="1:10" ht="18" customHeight="1" x14ac:dyDescent="0.3">
      <c r="A2" s="246"/>
      <c r="B2" s="374" t="s">
        <v>608</v>
      </c>
      <c r="C2" s="375"/>
      <c r="D2" s="375"/>
      <c r="E2" s="375"/>
      <c r="F2" s="375"/>
      <c r="G2" s="375"/>
      <c r="H2" s="375"/>
      <c r="I2" s="247"/>
      <c r="J2" s="248"/>
    </row>
    <row r="3" spans="1:10" x14ac:dyDescent="0.2">
      <c r="A3" s="249"/>
      <c r="B3" s="250"/>
      <c r="C3" s="250"/>
      <c r="D3" s="250"/>
      <c r="E3" s="250"/>
      <c r="F3" s="250"/>
      <c r="G3" s="250"/>
      <c r="H3" s="250"/>
      <c r="I3" s="251"/>
    </row>
    <row r="4" spans="1:10" ht="12.75" customHeight="1" x14ac:dyDescent="0.2">
      <c r="A4" s="249"/>
      <c r="B4" s="376" t="s">
        <v>646</v>
      </c>
      <c r="C4" s="376"/>
      <c r="D4" s="376"/>
      <c r="E4" s="376"/>
      <c r="F4" s="376"/>
      <c r="G4" s="376"/>
      <c r="H4" s="376"/>
      <c r="I4" s="251"/>
    </row>
    <row r="5" spans="1:10" x14ac:dyDescent="0.2">
      <c r="A5" s="249"/>
      <c r="B5" s="376"/>
      <c r="C5" s="376"/>
      <c r="D5" s="376"/>
      <c r="E5" s="376"/>
      <c r="F5" s="376"/>
      <c r="G5" s="376"/>
      <c r="H5" s="376"/>
      <c r="I5" s="251"/>
    </row>
    <row r="6" spans="1:10" x14ac:dyDescent="0.2">
      <c r="A6" s="249"/>
      <c r="B6" s="376"/>
      <c r="C6" s="376"/>
      <c r="D6" s="376"/>
      <c r="E6" s="376"/>
      <c r="F6" s="376"/>
      <c r="G6" s="376"/>
      <c r="H6" s="376"/>
      <c r="I6" s="251"/>
    </row>
    <row r="7" spans="1:10" x14ac:dyDescent="0.2">
      <c r="A7" s="249"/>
      <c r="B7" s="376"/>
      <c r="C7" s="376"/>
      <c r="D7" s="376"/>
      <c r="E7" s="376"/>
      <c r="F7" s="376"/>
      <c r="G7" s="376"/>
      <c r="H7" s="376"/>
      <c r="I7" s="251"/>
    </row>
    <row r="8" spans="1:10" x14ac:dyDescent="0.2">
      <c r="A8" s="249"/>
      <c r="B8" s="376"/>
      <c r="C8" s="376"/>
      <c r="D8" s="376"/>
      <c r="E8" s="376"/>
      <c r="F8" s="376"/>
      <c r="G8" s="376"/>
      <c r="H8" s="376"/>
      <c r="I8" s="251"/>
    </row>
    <row r="9" spans="1:10" x14ac:dyDescent="0.2">
      <c r="A9" s="249"/>
      <c r="B9" s="377" t="s">
        <v>647</v>
      </c>
      <c r="C9" s="376"/>
      <c r="D9" s="376"/>
      <c r="E9" s="376"/>
      <c r="F9" s="376"/>
      <c r="G9" s="376"/>
      <c r="H9" s="376"/>
      <c r="I9" s="251"/>
    </row>
    <row r="10" spans="1:10" x14ac:dyDescent="0.2">
      <c r="A10" s="249"/>
      <c r="B10" s="376"/>
      <c r="C10" s="376"/>
      <c r="D10" s="376"/>
      <c r="E10" s="376"/>
      <c r="F10" s="376"/>
      <c r="G10" s="376"/>
      <c r="H10" s="376"/>
      <c r="I10" s="251"/>
    </row>
    <row r="11" spans="1:10" x14ac:dyDescent="0.2">
      <c r="A11" s="249"/>
      <c r="B11" s="376"/>
      <c r="C11" s="376"/>
      <c r="D11" s="376"/>
      <c r="E11" s="376"/>
      <c r="F11" s="376"/>
      <c r="G11" s="376"/>
      <c r="H11" s="376"/>
      <c r="I11" s="251"/>
    </row>
    <row r="12" spans="1:10" x14ac:dyDescent="0.2">
      <c r="A12" s="249"/>
      <c r="B12" s="376"/>
      <c r="C12" s="376"/>
      <c r="D12" s="376"/>
      <c r="E12" s="376"/>
      <c r="F12" s="376"/>
      <c r="G12" s="376"/>
      <c r="H12" s="376"/>
      <c r="I12" s="251"/>
    </row>
    <row r="13" spans="1:10" x14ac:dyDescent="0.2">
      <c r="A13" s="249"/>
      <c r="B13" s="376"/>
      <c r="C13" s="376"/>
      <c r="D13" s="376"/>
      <c r="E13" s="376"/>
      <c r="F13" s="376"/>
      <c r="G13" s="376"/>
      <c r="H13" s="376"/>
      <c r="I13" s="251"/>
    </row>
    <row r="14" spans="1:10" x14ac:dyDescent="0.2">
      <c r="A14" s="249"/>
      <c r="B14" s="376" t="s">
        <v>652</v>
      </c>
      <c r="C14" s="376"/>
      <c r="D14" s="376"/>
      <c r="E14" s="376"/>
      <c r="F14" s="376"/>
      <c r="G14" s="376"/>
      <c r="H14" s="376"/>
      <c r="I14" s="251"/>
    </row>
    <row r="15" spans="1:10" x14ac:dyDescent="0.2">
      <c r="A15" s="249"/>
      <c r="B15" s="376"/>
      <c r="C15" s="376"/>
      <c r="D15" s="376"/>
      <c r="E15" s="376"/>
      <c r="F15" s="376"/>
      <c r="G15" s="376"/>
      <c r="H15" s="376"/>
      <c r="I15" s="251"/>
    </row>
    <row r="16" spans="1:10" x14ac:dyDescent="0.2">
      <c r="A16" s="249"/>
      <c r="B16" s="376"/>
      <c r="C16" s="376"/>
      <c r="D16" s="376"/>
      <c r="E16" s="376"/>
      <c r="F16" s="376"/>
      <c r="G16" s="376"/>
      <c r="H16" s="376"/>
      <c r="I16" s="251"/>
    </row>
    <row r="17" spans="1:9" x14ac:dyDescent="0.2">
      <c r="A17" s="249"/>
      <c r="B17" s="376"/>
      <c r="C17" s="376"/>
      <c r="D17" s="376"/>
      <c r="E17" s="376"/>
      <c r="F17" s="376"/>
      <c r="G17" s="376"/>
      <c r="H17" s="376"/>
      <c r="I17" s="251"/>
    </row>
    <row r="18" spans="1:9" x14ac:dyDescent="0.2">
      <c r="A18" s="249"/>
      <c r="B18" s="312"/>
      <c r="C18" s="312"/>
      <c r="D18" s="312"/>
      <c r="E18" s="312"/>
      <c r="F18" s="312"/>
      <c r="G18" s="312"/>
      <c r="H18" s="312"/>
      <c r="I18" s="251"/>
    </row>
    <row r="19" spans="1:9" x14ac:dyDescent="0.2">
      <c r="A19" s="249"/>
      <c r="B19" s="378" t="s">
        <v>650</v>
      </c>
      <c r="C19" s="376"/>
      <c r="D19" s="376"/>
      <c r="E19" s="376"/>
      <c r="F19" s="376"/>
      <c r="G19" s="376"/>
      <c r="H19" s="376"/>
      <c r="I19" s="251"/>
    </row>
    <row r="20" spans="1:9" x14ac:dyDescent="0.2">
      <c r="A20" s="249"/>
      <c r="B20" s="376"/>
      <c r="C20" s="376"/>
      <c r="D20" s="376"/>
      <c r="E20" s="376"/>
      <c r="F20" s="376"/>
      <c r="G20" s="376"/>
      <c r="H20" s="376"/>
      <c r="I20" s="251"/>
    </row>
    <row r="21" spans="1:9" x14ac:dyDescent="0.2">
      <c r="A21" s="249"/>
      <c r="B21" s="312"/>
      <c r="C21" s="312"/>
      <c r="D21" s="312"/>
      <c r="E21" s="312"/>
      <c r="F21" s="312"/>
      <c r="G21" s="312"/>
      <c r="H21" s="312"/>
      <c r="I21" s="251"/>
    </row>
    <row r="22" spans="1:9" x14ac:dyDescent="0.2">
      <c r="A22" s="249"/>
      <c r="B22" s="378" t="s">
        <v>651</v>
      </c>
      <c r="C22" s="376"/>
      <c r="D22" s="376"/>
      <c r="E22" s="376"/>
      <c r="F22" s="376"/>
      <c r="G22" s="376"/>
      <c r="H22" s="376"/>
      <c r="I22" s="251"/>
    </row>
    <row r="23" spans="1:9" x14ac:dyDescent="0.2">
      <c r="A23" s="249"/>
      <c r="B23" s="376"/>
      <c r="C23" s="376"/>
      <c r="D23" s="376"/>
      <c r="E23" s="376"/>
      <c r="F23" s="376"/>
      <c r="G23" s="376"/>
      <c r="H23" s="376"/>
      <c r="I23" s="251"/>
    </row>
    <row r="24" spans="1:9" x14ac:dyDescent="0.2">
      <c r="A24" s="249"/>
      <c r="B24" s="250"/>
      <c r="C24" s="250"/>
      <c r="D24" s="250"/>
      <c r="E24" s="250"/>
      <c r="F24" s="250"/>
      <c r="G24" s="250"/>
      <c r="H24" s="250"/>
      <c r="I24" s="251"/>
    </row>
    <row r="25" spans="1:9" x14ac:dyDescent="0.2">
      <c r="A25" s="249"/>
      <c r="B25" s="252" t="s">
        <v>589</v>
      </c>
      <c r="C25" s="250"/>
      <c r="D25" s="313"/>
      <c r="E25" s="250"/>
      <c r="F25" s="250"/>
      <c r="G25" s="250"/>
      <c r="H25" s="250"/>
      <c r="I25" s="251"/>
    </row>
    <row r="26" spans="1:9" x14ac:dyDescent="0.2">
      <c r="A26" s="249"/>
      <c r="B26" s="250"/>
      <c r="C26" s="250"/>
      <c r="D26" s="313"/>
      <c r="E26" s="250"/>
      <c r="F26" s="250"/>
      <c r="G26" s="250"/>
      <c r="H26" s="250"/>
      <c r="I26" s="251"/>
    </row>
    <row r="27" spans="1:9" x14ac:dyDescent="0.2">
      <c r="A27" s="249"/>
      <c r="B27" s="253" t="s">
        <v>590</v>
      </c>
      <c r="C27" s="250"/>
      <c r="D27" s="254" t="s">
        <v>389</v>
      </c>
      <c r="E27" s="250"/>
      <c r="F27" s="313"/>
      <c r="G27" s="250"/>
      <c r="H27" s="250"/>
      <c r="I27" s="251"/>
    </row>
    <row r="28" spans="1:9" x14ac:dyDescent="0.2">
      <c r="A28" s="249"/>
      <c r="B28" s="250" t="s">
        <v>591</v>
      </c>
      <c r="C28" s="250"/>
      <c r="D28" s="255">
        <v>500000</v>
      </c>
      <c r="E28" s="250"/>
      <c r="F28" s="313"/>
      <c r="G28" s="250"/>
      <c r="H28" s="250"/>
      <c r="I28" s="251"/>
    </row>
    <row r="29" spans="1:9" x14ac:dyDescent="0.2">
      <c r="A29" s="249"/>
      <c r="B29" s="250" t="s">
        <v>592</v>
      </c>
      <c r="C29" s="250"/>
      <c r="D29" s="256">
        <v>1.0640000000000001</v>
      </c>
      <c r="E29" s="250"/>
      <c r="F29" s="313"/>
      <c r="G29" s="250"/>
      <c r="H29" s="250"/>
      <c r="I29" s="251"/>
    </row>
    <row r="30" spans="1:9" x14ac:dyDescent="0.2">
      <c r="A30" s="249"/>
      <c r="B30" s="250" t="s">
        <v>593</v>
      </c>
      <c r="C30" s="250"/>
      <c r="D30" s="256">
        <v>1.0980000000000001</v>
      </c>
      <c r="E30" s="250"/>
      <c r="F30" s="313"/>
      <c r="G30" s="250"/>
      <c r="H30" s="250"/>
      <c r="I30" s="251"/>
    </row>
    <row r="31" spans="1:9" x14ac:dyDescent="0.2">
      <c r="A31" s="249"/>
      <c r="B31" s="250" t="s">
        <v>594</v>
      </c>
      <c r="C31" s="250"/>
      <c r="D31" s="256">
        <v>1.0615000000000001</v>
      </c>
      <c r="E31" s="250"/>
      <c r="F31" s="313"/>
      <c r="G31" s="250"/>
      <c r="H31" s="250"/>
      <c r="I31" s="251"/>
    </row>
    <row r="32" spans="1:9" x14ac:dyDescent="0.2">
      <c r="A32" s="249"/>
      <c r="B32" s="250"/>
      <c r="C32" s="250"/>
      <c r="D32" s="250"/>
      <c r="E32" s="250"/>
      <c r="F32" s="257"/>
      <c r="G32" s="250"/>
      <c r="H32" s="258"/>
      <c r="I32" s="251"/>
    </row>
    <row r="33" spans="1:9" s="261" customFormat="1" x14ac:dyDescent="0.2">
      <c r="A33" s="259"/>
      <c r="B33" s="378" t="s">
        <v>648</v>
      </c>
      <c r="C33" s="376"/>
      <c r="D33" s="376"/>
      <c r="E33" s="376"/>
      <c r="F33" s="376"/>
      <c r="G33" s="376"/>
      <c r="H33" s="376"/>
      <c r="I33" s="260"/>
    </row>
    <row r="34" spans="1:9" s="261" customFormat="1" x14ac:dyDescent="0.2">
      <c r="A34" s="259"/>
      <c r="B34" s="376"/>
      <c r="C34" s="376"/>
      <c r="D34" s="376"/>
      <c r="E34" s="376"/>
      <c r="F34" s="376"/>
      <c r="G34" s="376"/>
      <c r="H34" s="376"/>
      <c r="I34" s="260"/>
    </row>
    <row r="35" spans="1:9" x14ac:dyDescent="0.2">
      <c r="A35" s="249"/>
      <c r="B35" s="250"/>
      <c r="C35" s="250"/>
      <c r="D35" s="250"/>
      <c r="E35" s="250"/>
      <c r="F35" s="250"/>
      <c r="G35" s="250"/>
      <c r="H35" s="250"/>
      <c r="I35" s="251"/>
    </row>
    <row r="36" spans="1:9" x14ac:dyDescent="0.2">
      <c r="A36" s="249"/>
      <c r="B36" s="250"/>
      <c r="C36" s="250"/>
      <c r="D36" s="253" t="s">
        <v>595</v>
      </c>
      <c r="E36" s="250"/>
      <c r="F36" s="254" t="s">
        <v>596</v>
      </c>
      <c r="G36" s="250"/>
      <c r="H36" s="254" t="s">
        <v>597</v>
      </c>
      <c r="I36" s="251"/>
    </row>
    <row r="37" spans="1:9" x14ac:dyDescent="0.2">
      <c r="A37" s="249"/>
      <c r="B37" s="250"/>
      <c r="C37" s="250"/>
      <c r="D37" s="250" t="s">
        <v>598</v>
      </c>
      <c r="E37" s="250"/>
      <c r="F37" s="262">
        <f>D29</f>
        <v>1.0640000000000001</v>
      </c>
      <c r="G37" s="250"/>
      <c r="H37" s="263">
        <f>D28/F37</f>
        <v>469924.81203007518</v>
      </c>
      <c r="I37" s="251"/>
    </row>
    <row r="38" spans="1:9" x14ac:dyDescent="0.2">
      <c r="A38" s="249"/>
      <c r="B38" s="250"/>
      <c r="C38" s="250"/>
      <c r="D38" s="250" t="s">
        <v>599</v>
      </c>
      <c r="E38" s="250"/>
      <c r="F38" s="262">
        <f>D30</f>
        <v>1.0980000000000001</v>
      </c>
      <c r="G38" s="250"/>
      <c r="H38" s="264">
        <f>D28/F38</f>
        <v>455373.40619307826</v>
      </c>
      <c r="I38" s="251"/>
    </row>
    <row r="39" spans="1:9" ht="13.5" thickBot="1" x14ac:dyDescent="0.25">
      <c r="A39" s="249"/>
      <c r="B39" s="250"/>
      <c r="C39" s="250"/>
      <c r="D39" s="250" t="s">
        <v>600</v>
      </c>
      <c r="E39" s="250"/>
      <c r="F39" s="265"/>
      <c r="G39" s="250"/>
      <c r="H39" s="266">
        <f>H37-H38</f>
        <v>14551.405836996913</v>
      </c>
      <c r="I39" s="251"/>
    </row>
    <row r="40" spans="1:9" ht="13.5" thickTop="1" x14ac:dyDescent="0.2">
      <c r="A40" s="249"/>
      <c r="B40" s="250"/>
      <c r="C40" s="250"/>
      <c r="D40" s="250"/>
      <c r="E40" s="250"/>
      <c r="F40" s="250"/>
      <c r="G40" s="250"/>
      <c r="H40" s="267"/>
      <c r="I40" s="251"/>
    </row>
    <row r="41" spans="1:9" x14ac:dyDescent="0.2">
      <c r="A41" s="249"/>
      <c r="B41" s="250"/>
      <c r="C41" s="250"/>
      <c r="D41" s="250"/>
      <c r="E41" s="250"/>
      <c r="F41" s="250"/>
      <c r="G41" s="250"/>
      <c r="H41" s="250"/>
      <c r="I41" s="251"/>
    </row>
    <row r="42" spans="1:9" x14ac:dyDescent="0.2">
      <c r="A42" s="249"/>
      <c r="B42" s="250"/>
      <c r="C42" s="250"/>
      <c r="D42" s="253" t="s">
        <v>601</v>
      </c>
      <c r="E42" s="250"/>
      <c r="F42" s="254" t="s">
        <v>596</v>
      </c>
      <c r="G42" s="250"/>
      <c r="H42" s="254" t="s">
        <v>597</v>
      </c>
      <c r="I42" s="251"/>
    </row>
    <row r="43" spans="1:9" x14ac:dyDescent="0.2">
      <c r="A43" s="249"/>
      <c r="B43" s="250"/>
      <c r="C43" s="250"/>
      <c r="D43" s="250" t="s">
        <v>598</v>
      </c>
      <c r="E43" s="250"/>
      <c r="F43" s="262">
        <f>D29</f>
        <v>1.0640000000000001</v>
      </c>
      <c r="G43" s="250"/>
      <c r="H43" s="263">
        <f>D28/F43</f>
        <v>469924.81203007518</v>
      </c>
      <c r="I43" s="251"/>
    </row>
    <row r="44" spans="1:9" x14ac:dyDescent="0.2">
      <c r="A44" s="249"/>
      <c r="B44" s="250"/>
      <c r="C44" s="250"/>
      <c r="D44" s="250" t="s">
        <v>602</v>
      </c>
      <c r="E44" s="250"/>
      <c r="F44" s="262">
        <f>D31</f>
        <v>1.0615000000000001</v>
      </c>
      <c r="G44" s="250"/>
      <c r="H44" s="264">
        <f>D28/F44</f>
        <v>471031.5591144606</v>
      </c>
      <c r="I44" s="251"/>
    </row>
    <row r="45" spans="1:9" ht="13.5" thickBot="1" x14ac:dyDescent="0.25">
      <c r="A45" s="249"/>
      <c r="B45" s="250"/>
      <c r="C45" s="250"/>
      <c r="D45" s="250" t="s">
        <v>600</v>
      </c>
      <c r="E45" s="250"/>
      <c r="F45" s="265"/>
      <c r="G45" s="250"/>
      <c r="H45" s="266">
        <f>H43-H44</f>
        <v>-1106.7470843854244</v>
      </c>
      <c r="I45" s="251"/>
    </row>
    <row r="46" spans="1:9" ht="13.5" thickTop="1" x14ac:dyDescent="0.2">
      <c r="A46" s="249"/>
      <c r="B46" s="250"/>
      <c r="C46" s="250"/>
      <c r="D46" s="250"/>
      <c r="E46" s="250"/>
      <c r="F46" s="250"/>
      <c r="G46" s="250"/>
      <c r="H46" s="267"/>
      <c r="I46" s="251"/>
    </row>
    <row r="47" spans="1:9" x14ac:dyDescent="0.2">
      <c r="A47" s="249"/>
      <c r="B47" s="378" t="s">
        <v>649</v>
      </c>
      <c r="C47" s="376"/>
      <c r="D47" s="376"/>
      <c r="E47" s="376"/>
      <c r="F47" s="376"/>
      <c r="G47" s="376"/>
      <c r="H47" s="376"/>
      <c r="I47" s="251"/>
    </row>
    <row r="48" spans="1:9" x14ac:dyDescent="0.2">
      <c r="A48" s="249"/>
      <c r="B48" s="376"/>
      <c r="C48" s="376"/>
      <c r="D48" s="376"/>
      <c r="E48" s="376"/>
      <c r="F48" s="376"/>
      <c r="G48" s="376"/>
      <c r="H48" s="376"/>
      <c r="I48" s="251"/>
    </row>
    <row r="49" spans="1:9" x14ac:dyDescent="0.2">
      <c r="A49" s="249"/>
      <c r="B49" s="250"/>
      <c r="C49" s="250"/>
      <c r="D49" s="250"/>
      <c r="E49" s="250"/>
      <c r="F49" s="250"/>
      <c r="G49" s="250"/>
      <c r="H49" s="250"/>
      <c r="I49" s="251"/>
    </row>
    <row r="50" spans="1:9" x14ac:dyDescent="0.2">
      <c r="A50" s="249"/>
      <c r="B50" s="250"/>
      <c r="C50" s="250"/>
      <c r="D50" s="253" t="s">
        <v>603</v>
      </c>
      <c r="E50" s="250"/>
      <c r="F50" s="254" t="s">
        <v>596</v>
      </c>
      <c r="G50" s="250"/>
      <c r="H50" s="254" t="s">
        <v>597</v>
      </c>
      <c r="I50" s="251"/>
    </row>
    <row r="51" spans="1:9" x14ac:dyDescent="0.2">
      <c r="A51" s="249"/>
      <c r="B51" s="250"/>
      <c r="C51" s="250"/>
      <c r="D51" s="250" t="s">
        <v>604</v>
      </c>
      <c r="E51" s="250"/>
      <c r="F51" s="268"/>
      <c r="G51" s="250"/>
      <c r="H51" s="269">
        <f>D28</f>
        <v>500000</v>
      </c>
      <c r="I51" s="251"/>
    </row>
    <row r="52" spans="1:9" x14ac:dyDescent="0.2">
      <c r="A52" s="249"/>
      <c r="B52" s="250"/>
      <c r="C52" s="250"/>
      <c r="D52" s="250" t="s">
        <v>605</v>
      </c>
      <c r="E52" s="250"/>
      <c r="F52" s="262">
        <f>D29</f>
        <v>1.0640000000000001</v>
      </c>
      <c r="G52" s="250"/>
      <c r="H52" s="270">
        <f>H51/F52</f>
        <v>469924.81203007518</v>
      </c>
      <c r="I52" s="251"/>
    </row>
    <row r="53" spans="1:9" x14ac:dyDescent="0.2">
      <c r="A53" s="249"/>
      <c r="B53" s="250"/>
      <c r="C53" s="250"/>
      <c r="D53" s="250" t="s">
        <v>606</v>
      </c>
      <c r="E53" s="250"/>
      <c r="F53" s="262">
        <f>D30</f>
        <v>1.0980000000000001</v>
      </c>
      <c r="G53" s="250"/>
      <c r="H53" s="271">
        <f>H52*F53</f>
        <v>515977.44360902259</v>
      </c>
      <c r="I53" s="251"/>
    </row>
    <row r="54" spans="1:9" ht="13.5" thickBot="1" x14ac:dyDescent="0.25">
      <c r="A54" s="249"/>
      <c r="B54" s="250"/>
      <c r="C54" s="250"/>
      <c r="D54" s="250" t="s">
        <v>600</v>
      </c>
      <c r="E54" s="250"/>
      <c r="F54" s="265"/>
      <c r="G54" s="250"/>
      <c r="H54" s="272">
        <f>H53-H51</f>
        <v>15977.443609022594</v>
      </c>
      <c r="I54" s="251"/>
    </row>
    <row r="55" spans="1:9" ht="13.5" thickTop="1" x14ac:dyDescent="0.2">
      <c r="A55" s="249"/>
      <c r="B55" s="250"/>
      <c r="C55" s="250"/>
      <c r="D55" s="250"/>
      <c r="E55" s="250"/>
      <c r="F55" s="250"/>
      <c r="G55" s="250"/>
      <c r="H55" s="250"/>
      <c r="I55" s="251"/>
    </row>
    <row r="56" spans="1:9" x14ac:dyDescent="0.2">
      <c r="A56" s="249"/>
      <c r="B56" s="250"/>
      <c r="C56" s="250"/>
      <c r="D56" s="250"/>
      <c r="E56" s="250"/>
      <c r="F56" s="250"/>
      <c r="G56" s="250"/>
      <c r="H56" s="250"/>
      <c r="I56" s="251"/>
    </row>
    <row r="57" spans="1:9" x14ac:dyDescent="0.2">
      <c r="A57" s="249"/>
      <c r="B57" s="250"/>
      <c r="C57" s="250"/>
      <c r="D57" s="253" t="s">
        <v>601</v>
      </c>
      <c r="E57" s="250"/>
      <c r="F57" s="254" t="s">
        <v>596</v>
      </c>
      <c r="G57" s="250"/>
      <c r="H57" s="254" t="s">
        <v>597</v>
      </c>
      <c r="I57" s="251"/>
    </row>
    <row r="58" spans="1:9" x14ac:dyDescent="0.2">
      <c r="A58" s="249"/>
      <c r="B58" s="250"/>
      <c r="C58" s="250"/>
      <c r="D58" s="250" t="s">
        <v>604</v>
      </c>
      <c r="E58" s="250"/>
      <c r="F58" s="268"/>
      <c r="G58" s="250"/>
      <c r="H58" s="269">
        <f>D28</f>
        <v>500000</v>
      </c>
      <c r="I58" s="251"/>
    </row>
    <row r="59" spans="1:9" x14ac:dyDescent="0.2">
      <c r="A59" s="249"/>
      <c r="B59" s="250"/>
      <c r="C59" s="250"/>
      <c r="D59" s="250" t="s">
        <v>605</v>
      </c>
      <c r="E59" s="250"/>
      <c r="F59" s="262">
        <f>D29</f>
        <v>1.0640000000000001</v>
      </c>
      <c r="G59" s="250"/>
      <c r="H59" s="270">
        <f>H58/F59</f>
        <v>469924.81203007518</v>
      </c>
      <c r="I59" s="251"/>
    </row>
    <row r="60" spans="1:9" x14ac:dyDescent="0.2">
      <c r="A60" s="249"/>
      <c r="B60" s="250"/>
      <c r="C60" s="250"/>
      <c r="D60" s="250" t="s">
        <v>607</v>
      </c>
      <c r="E60" s="250"/>
      <c r="F60" s="262">
        <f>D31</f>
        <v>1.0615000000000001</v>
      </c>
      <c r="G60" s="250"/>
      <c r="H60" s="271">
        <f>H59*F60</f>
        <v>498825.18796992482</v>
      </c>
      <c r="I60" s="251"/>
    </row>
    <row r="61" spans="1:9" ht="13.5" thickBot="1" x14ac:dyDescent="0.25">
      <c r="A61" s="249"/>
      <c r="B61" s="250"/>
      <c r="C61" s="250"/>
      <c r="D61" s="250" t="s">
        <v>600</v>
      </c>
      <c r="E61" s="250"/>
      <c r="F61" s="265"/>
      <c r="G61" s="250"/>
      <c r="H61" s="272">
        <f>H60-H58</f>
        <v>-1174.8120300751762</v>
      </c>
      <c r="I61" s="251"/>
    </row>
    <row r="62" spans="1:9" ht="13.5" thickTop="1" x14ac:dyDescent="0.2">
      <c r="A62" s="249"/>
      <c r="B62" s="250"/>
      <c r="C62" s="250"/>
      <c r="D62" s="250"/>
      <c r="E62" s="250"/>
      <c r="F62" s="250"/>
      <c r="G62" s="250"/>
      <c r="H62" s="250"/>
      <c r="I62" s="251"/>
    </row>
    <row r="63" spans="1:9" ht="13.5" thickBot="1" x14ac:dyDescent="0.25">
      <c r="A63" s="273"/>
      <c r="B63" s="274"/>
      <c r="C63" s="274"/>
      <c r="D63" s="274"/>
      <c r="E63" s="274"/>
      <c r="F63" s="274"/>
      <c r="G63" s="274"/>
      <c r="H63" s="274"/>
      <c r="I63" s="275"/>
    </row>
  </sheetData>
  <mergeCells count="8">
    <mergeCell ref="B2:H2"/>
    <mergeCell ref="B4:H8"/>
    <mergeCell ref="B9:H13"/>
    <mergeCell ref="B33:H34"/>
    <mergeCell ref="B47:H48"/>
    <mergeCell ref="B14:H17"/>
    <mergeCell ref="B19:H20"/>
    <mergeCell ref="B22:H23"/>
  </mergeCells>
  <printOptions horizontalCentered="1"/>
  <pageMargins left="0.7" right="0.7" top="0.75" bottom="0.75" header="0.3" footer="0.3"/>
  <pageSetup scale="84"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workbookViewId="0"/>
  </sheetViews>
  <sheetFormatPr defaultRowHeight="12.75" x14ac:dyDescent="0.2"/>
  <cols>
    <col min="1" max="1" width="2.83203125" customWidth="1"/>
    <col min="2" max="2" width="30.83203125" customWidth="1"/>
    <col min="3" max="3" width="2.83203125" customWidth="1"/>
    <col min="4" max="4" width="18.83203125" customWidth="1"/>
    <col min="5" max="5" width="4.83203125" customWidth="1"/>
    <col min="6" max="6" width="18.83203125" customWidth="1"/>
    <col min="7" max="7" width="4.83203125" customWidth="1"/>
    <col min="8" max="8" width="18.83203125" customWidth="1"/>
    <col min="9" max="9" width="4.83203125" customWidth="1"/>
    <col min="10" max="10" width="18.83203125" customWidth="1"/>
    <col min="11" max="11" width="2.83203125" customWidth="1"/>
    <col min="257" max="257" width="2.83203125" customWidth="1"/>
    <col min="258" max="258" width="30.83203125" customWidth="1"/>
    <col min="259" max="259" width="2.83203125" customWidth="1"/>
    <col min="260" max="260" width="18.83203125" customWidth="1"/>
    <col min="261" max="261" width="4.83203125" customWidth="1"/>
    <col min="262" max="262" width="18.83203125" customWidth="1"/>
    <col min="263" max="263" width="4.83203125" customWidth="1"/>
    <col min="264" max="264" width="18.83203125" customWidth="1"/>
    <col min="265" max="265" width="4.83203125" customWidth="1"/>
    <col min="266" max="266" width="18.83203125" customWidth="1"/>
    <col min="267" max="267" width="2.83203125" customWidth="1"/>
    <col min="513" max="513" width="2.83203125" customWidth="1"/>
    <col min="514" max="514" width="30.83203125" customWidth="1"/>
    <col min="515" max="515" width="2.83203125" customWidth="1"/>
    <col min="516" max="516" width="18.83203125" customWidth="1"/>
    <col min="517" max="517" width="4.83203125" customWidth="1"/>
    <col min="518" max="518" width="18.83203125" customWidth="1"/>
    <col min="519" max="519" width="4.83203125" customWidth="1"/>
    <col min="520" max="520" width="18.83203125" customWidth="1"/>
    <col min="521" max="521" width="4.83203125" customWidth="1"/>
    <col min="522" max="522" width="18.83203125" customWidth="1"/>
    <col min="523" max="523" width="2.83203125" customWidth="1"/>
    <col min="769" max="769" width="2.83203125" customWidth="1"/>
    <col min="770" max="770" width="30.83203125" customWidth="1"/>
    <col min="771" max="771" width="2.83203125" customWidth="1"/>
    <col min="772" max="772" width="18.83203125" customWidth="1"/>
    <col min="773" max="773" width="4.83203125" customWidth="1"/>
    <col min="774" max="774" width="18.83203125" customWidth="1"/>
    <col min="775" max="775" width="4.83203125" customWidth="1"/>
    <col min="776" max="776" width="18.83203125" customWidth="1"/>
    <col min="777" max="777" width="4.83203125" customWidth="1"/>
    <col min="778" max="778" width="18.83203125" customWidth="1"/>
    <col min="779" max="779" width="2.83203125" customWidth="1"/>
    <col min="1025" max="1025" width="2.83203125" customWidth="1"/>
    <col min="1026" max="1026" width="30.83203125" customWidth="1"/>
    <col min="1027" max="1027" width="2.83203125" customWidth="1"/>
    <col min="1028" max="1028" width="18.83203125" customWidth="1"/>
    <col min="1029" max="1029" width="4.83203125" customWidth="1"/>
    <col min="1030" max="1030" width="18.83203125" customWidth="1"/>
    <col min="1031" max="1031" width="4.83203125" customWidth="1"/>
    <col min="1032" max="1032" width="18.83203125" customWidth="1"/>
    <col min="1033" max="1033" width="4.83203125" customWidth="1"/>
    <col min="1034" max="1034" width="18.83203125" customWidth="1"/>
    <col min="1035" max="1035" width="2.83203125" customWidth="1"/>
    <col min="1281" max="1281" width="2.83203125" customWidth="1"/>
    <col min="1282" max="1282" width="30.83203125" customWidth="1"/>
    <col min="1283" max="1283" width="2.83203125" customWidth="1"/>
    <col min="1284" max="1284" width="18.83203125" customWidth="1"/>
    <col min="1285" max="1285" width="4.83203125" customWidth="1"/>
    <col min="1286" max="1286" width="18.83203125" customWidth="1"/>
    <col min="1287" max="1287" width="4.83203125" customWidth="1"/>
    <col min="1288" max="1288" width="18.83203125" customWidth="1"/>
    <col min="1289" max="1289" width="4.83203125" customWidth="1"/>
    <col min="1290" max="1290" width="18.83203125" customWidth="1"/>
    <col min="1291" max="1291" width="2.83203125" customWidth="1"/>
    <col min="1537" max="1537" width="2.83203125" customWidth="1"/>
    <col min="1538" max="1538" width="30.83203125" customWidth="1"/>
    <col min="1539" max="1539" width="2.83203125" customWidth="1"/>
    <col min="1540" max="1540" width="18.83203125" customWidth="1"/>
    <col min="1541" max="1541" width="4.83203125" customWidth="1"/>
    <col min="1542" max="1542" width="18.83203125" customWidth="1"/>
    <col min="1543" max="1543" width="4.83203125" customWidth="1"/>
    <col min="1544" max="1544" width="18.83203125" customWidth="1"/>
    <col min="1545" max="1545" width="4.83203125" customWidth="1"/>
    <col min="1546" max="1546" width="18.83203125" customWidth="1"/>
    <col min="1547" max="1547" width="2.83203125" customWidth="1"/>
    <col min="1793" max="1793" width="2.83203125" customWidth="1"/>
    <col min="1794" max="1794" width="30.83203125" customWidth="1"/>
    <col min="1795" max="1795" width="2.83203125" customWidth="1"/>
    <col min="1796" max="1796" width="18.83203125" customWidth="1"/>
    <col min="1797" max="1797" width="4.83203125" customWidth="1"/>
    <col min="1798" max="1798" width="18.83203125" customWidth="1"/>
    <col min="1799" max="1799" width="4.83203125" customWidth="1"/>
    <col min="1800" max="1800" width="18.83203125" customWidth="1"/>
    <col min="1801" max="1801" width="4.83203125" customWidth="1"/>
    <col min="1802" max="1802" width="18.83203125" customWidth="1"/>
    <col min="1803" max="1803" width="2.83203125" customWidth="1"/>
    <col min="2049" max="2049" width="2.83203125" customWidth="1"/>
    <col min="2050" max="2050" width="30.83203125" customWidth="1"/>
    <col min="2051" max="2051" width="2.83203125" customWidth="1"/>
    <col min="2052" max="2052" width="18.83203125" customWidth="1"/>
    <col min="2053" max="2053" width="4.83203125" customWidth="1"/>
    <col min="2054" max="2054" width="18.83203125" customWidth="1"/>
    <col min="2055" max="2055" width="4.83203125" customWidth="1"/>
    <col min="2056" max="2056" width="18.83203125" customWidth="1"/>
    <col min="2057" max="2057" width="4.83203125" customWidth="1"/>
    <col min="2058" max="2058" width="18.83203125" customWidth="1"/>
    <col min="2059" max="2059" width="2.83203125" customWidth="1"/>
    <col min="2305" max="2305" width="2.83203125" customWidth="1"/>
    <col min="2306" max="2306" width="30.83203125" customWidth="1"/>
    <col min="2307" max="2307" width="2.83203125" customWidth="1"/>
    <col min="2308" max="2308" width="18.83203125" customWidth="1"/>
    <col min="2309" max="2309" width="4.83203125" customWidth="1"/>
    <col min="2310" max="2310" width="18.83203125" customWidth="1"/>
    <col min="2311" max="2311" width="4.83203125" customWidth="1"/>
    <col min="2312" max="2312" width="18.83203125" customWidth="1"/>
    <col min="2313" max="2313" width="4.83203125" customWidth="1"/>
    <col min="2314" max="2314" width="18.83203125" customWidth="1"/>
    <col min="2315" max="2315" width="2.83203125" customWidth="1"/>
    <col min="2561" max="2561" width="2.83203125" customWidth="1"/>
    <col min="2562" max="2562" width="30.83203125" customWidth="1"/>
    <col min="2563" max="2563" width="2.83203125" customWidth="1"/>
    <col min="2564" max="2564" width="18.83203125" customWidth="1"/>
    <col min="2565" max="2565" width="4.83203125" customWidth="1"/>
    <col min="2566" max="2566" width="18.83203125" customWidth="1"/>
    <col min="2567" max="2567" width="4.83203125" customWidth="1"/>
    <col min="2568" max="2568" width="18.83203125" customWidth="1"/>
    <col min="2569" max="2569" width="4.83203125" customWidth="1"/>
    <col min="2570" max="2570" width="18.83203125" customWidth="1"/>
    <col min="2571" max="2571" width="2.83203125" customWidth="1"/>
    <col min="2817" max="2817" width="2.83203125" customWidth="1"/>
    <col min="2818" max="2818" width="30.83203125" customWidth="1"/>
    <col min="2819" max="2819" width="2.83203125" customWidth="1"/>
    <col min="2820" max="2820" width="18.83203125" customWidth="1"/>
    <col min="2821" max="2821" width="4.83203125" customWidth="1"/>
    <col min="2822" max="2822" width="18.83203125" customWidth="1"/>
    <col min="2823" max="2823" width="4.83203125" customWidth="1"/>
    <col min="2824" max="2824" width="18.83203125" customWidth="1"/>
    <col min="2825" max="2825" width="4.83203125" customWidth="1"/>
    <col min="2826" max="2826" width="18.83203125" customWidth="1"/>
    <col min="2827" max="2827" width="2.83203125" customWidth="1"/>
    <col min="3073" max="3073" width="2.83203125" customWidth="1"/>
    <col min="3074" max="3074" width="30.83203125" customWidth="1"/>
    <col min="3075" max="3075" width="2.83203125" customWidth="1"/>
    <col min="3076" max="3076" width="18.83203125" customWidth="1"/>
    <col min="3077" max="3077" width="4.83203125" customWidth="1"/>
    <col min="3078" max="3078" width="18.83203125" customWidth="1"/>
    <col min="3079" max="3079" width="4.83203125" customWidth="1"/>
    <col min="3080" max="3080" width="18.83203125" customWidth="1"/>
    <col min="3081" max="3081" width="4.83203125" customWidth="1"/>
    <col min="3082" max="3082" width="18.83203125" customWidth="1"/>
    <col min="3083" max="3083" width="2.83203125" customWidth="1"/>
    <col min="3329" max="3329" width="2.83203125" customWidth="1"/>
    <col min="3330" max="3330" width="30.83203125" customWidth="1"/>
    <col min="3331" max="3331" width="2.83203125" customWidth="1"/>
    <col min="3332" max="3332" width="18.83203125" customWidth="1"/>
    <col min="3333" max="3333" width="4.83203125" customWidth="1"/>
    <col min="3334" max="3334" width="18.83203125" customWidth="1"/>
    <col min="3335" max="3335" width="4.83203125" customWidth="1"/>
    <col min="3336" max="3336" width="18.83203125" customWidth="1"/>
    <col min="3337" max="3337" width="4.83203125" customWidth="1"/>
    <col min="3338" max="3338" width="18.83203125" customWidth="1"/>
    <col min="3339" max="3339" width="2.83203125" customWidth="1"/>
    <col min="3585" max="3585" width="2.83203125" customWidth="1"/>
    <col min="3586" max="3586" width="30.83203125" customWidth="1"/>
    <col min="3587" max="3587" width="2.83203125" customWidth="1"/>
    <col min="3588" max="3588" width="18.83203125" customWidth="1"/>
    <col min="3589" max="3589" width="4.83203125" customWidth="1"/>
    <col min="3590" max="3590" width="18.83203125" customWidth="1"/>
    <col min="3591" max="3591" width="4.83203125" customWidth="1"/>
    <col min="3592" max="3592" width="18.83203125" customWidth="1"/>
    <col min="3593" max="3593" width="4.83203125" customWidth="1"/>
    <col min="3594" max="3594" width="18.83203125" customWidth="1"/>
    <col min="3595" max="3595" width="2.83203125" customWidth="1"/>
    <col min="3841" max="3841" width="2.83203125" customWidth="1"/>
    <col min="3842" max="3842" width="30.83203125" customWidth="1"/>
    <col min="3843" max="3843" width="2.83203125" customWidth="1"/>
    <col min="3844" max="3844" width="18.83203125" customWidth="1"/>
    <col min="3845" max="3845" width="4.83203125" customWidth="1"/>
    <col min="3846" max="3846" width="18.83203125" customWidth="1"/>
    <col min="3847" max="3847" width="4.83203125" customWidth="1"/>
    <col min="3848" max="3848" width="18.83203125" customWidth="1"/>
    <col min="3849" max="3849" width="4.83203125" customWidth="1"/>
    <col min="3850" max="3850" width="18.83203125" customWidth="1"/>
    <col min="3851" max="3851" width="2.83203125" customWidth="1"/>
    <col min="4097" max="4097" width="2.83203125" customWidth="1"/>
    <col min="4098" max="4098" width="30.83203125" customWidth="1"/>
    <col min="4099" max="4099" width="2.83203125" customWidth="1"/>
    <col min="4100" max="4100" width="18.83203125" customWidth="1"/>
    <col min="4101" max="4101" width="4.83203125" customWidth="1"/>
    <col min="4102" max="4102" width="18.83203125" customWidth="1"/>
    <col min="4103" max="4103" width="4.83203125" customWidth="1"/>
    <col min="4104" max="4104" width="18.83203125" customWidth="1"/>
    <col min="4105" max="4105" width="4.83203125" customWidth="1"/>
    <col min="4106" max="4106" width="18.83203125" customWidth="1"/>
    <col min="4107" max="4107" width="2.83203125" customWidth="1"/>
    <col min="4353" max="4353" width="2.83203125" customWidth="1"/>
    <col min="4354" max="4354" width="30.83203125" customWidth="1"/>
    <col min="4355" max="4355" width="2.83203125" customWidth="1"/>
    <col min="4356" max="4356" width="18.83203125" customWidth="1"/>
    <col min="4357" max="4357" width="4.83203125" customWidth="1"/>
    <col min="4358" max="4358" width="18.83203125" customWidth="1"/>
    <col min="4359" max="4359" width="4.83203125" customWidth="1"/>
    <col min="4360" max="4360" width="18.83203125" customWidth="1"/>
    <col min="4361" max="4361" width="4.83203125" customWidth="1"/>
    <col min="4362" max="4362" width="18.83203125" customWidth="1"/>
    <col min="4363" max="4363" width="2.83203125" customWidth="1"/>
    <col min="4609" max="4609" width="2.83203125" customWidth="1"/>
    <col min="4610" max="4610" width="30.83203125" customWidth="1"/>
    <col min="4611" max="4611" width="2.83203125" customWidth="1"/>
    <col min="4612" max="4612" width="18.83203125" customWidth="1"/>
    <col min="4613" max="4613" width="4.83203125" customWidth="1"/>
    <col min="4614" max="4614" width="18.83203125" customWidth="1"/>
    <col min="4615" max="4615" width="4.83203125" customWidth="1"/>
    <col min="4616" max="4616" width="18.83203125" customWidth="1"/>
    <col min="4617" max="4617" width="4.83203125" customWidth="1"/>
    <col min="4618" max="4618" width="18.83203125" customWidth="1"/>
    <col min="4619" max="4619" width="2.83203125" customWidth="1"/>
    <col min="4865" max="4865" width="2.83203125" customWidth="1"/>
    <col min="4866" max="4866" width="30.83203125" customWidth="1"/>
    <col min="4867" max="4867" width="2.83203125" customWidth="1"/>
    <col min="4868" max="4868" width="18.83203125" customWidth="1"/>
    <col min="4869" max="4869" width="4.83203125" customWidth="1"/>
    <col min="4870" max="4870" width="18.83203125" customWidth="1"/>
    <col min="4871" max="4871" width="4.83203125" customWidth="1"/>
    <col min="4872" max="4872" width="18.83203125" customWidth="1"/>
    <col min="4873" max="4873" width="4.83203125" customWidth="1"/>
    <col min="4874" max="4874" width="18.83203125" customWidth="1"/>
    <col min="4875" max="4875" width="2.83203125" customWidth="1"/>
    <col min="5121" max="5121" width="2.83203125" customWidth="1"/>
    <col min="5122" max="5122" width="30.83203125" customWidth="1"/>
    <col min="5123" max="5123" width="2.83203125" customWidth="1"/>
    <col min="5124" max="5124" width="18.83203125" customWidth="1"/>
    <col min="5125" max="5125" width="4.83203125" customWidth="1"/>
    <col min="5126" max="5126" width="18.83203125" customWidth="1"/>
    <col min="5127" max="5127" width="4.83203125" customWidth="1"/>
    <col min="5128" max="5128" width="18.83203125" customWidth="1"/>
    <col min="5129" max="5129" width="4.83203125" customWidth="1"/>
    <col min="5130" max="5130" width="18.83203125" customWidth="1"/>
    <col min="5131" max="5131" width="2.83203125" customWidth="1"/>
    <col min="5377" max="5377" width="2.83203125" customWidth="1"/>
    <col min="5378" max="5378" width="30.83203125" customWidth="1"/>
    <col min="5379" max="5379" width="2.83203125" customWidth="1"/>
    <col min="5380" max="5380" width="18.83203125" customWidth="1"/>
    <col min="5381" max="5381" width="4.83203125" customWidth="1"/>
    <col min="5382" max="5382" width="18.83203125" customWidth="1"/>
    <col min="5383" max="5383" width="4.83203125" customWidth="1"/>
    <col min="5384" max="5384" width="18.83203125" customWidth="1"/>
    <col min="5385" max="5385" width="4.83203125" customWidth="1"/>
    <col min="5386" max="5386" width="18.83203125" customWidth="1"/>
    <col min="5387" max="5387" width="2.83203125" customWidth="1"/>
    <col min="5633" max="5633" width="2.83203125" customWidth="1"/>
    <col min="5634" max="5634" width="30.83203125" customWidth="1"/>
    <col min="5635" max="5635" width="2.83203125" customWidth="1"/>
    <col min="5636" max="5636" width="18.83203125" customWidth="1"/>
    <col min="5637" max="5637" width="4.83203125" customWidth="1"/>
    <col min="5638" max="5638" width="18.83203125" customWidth="1"/>
    <col min="5639" max="5639" width="4.83203125" customWidth="1"/>
    <col min="5640" max="5640" width="18.83203125" customWidth="1"/>
    <col min="5641" max="5641" width="4.83203125" customWidth="1"/>
    <col min="5642" max="5642" width="18.83203125" customWidth="1"/>
    <col min="5643" max="5643" width="2.83203125" customWidth="1"/>
    <col min="5889" max="5889" width="2.83203125" customWidth="1"/>
    <col min="5890" max="5890" width="30.83203125" customWidth="1"/>
    <col min="5891" max="5891" width="2.83203125" customWidth="1"/>
    <col min="5892" max="5892" width="18.83203125" customWidth="1"/>
    <col min="5893" max="5893" width="4.83203125" customWidth="1"/>
    <col min="5894" max="5894" width="18.83203125" customWidth="1"/>
    <col min="5895" max="5895" width="4.83203125" customWidth="1"/>
    <col min="5896" max="5896" width="18.83203125" customWidth="1"/>
    <col min="5897" max="5897" width="4.83203125" customWidth="1"/>
    <col min="5898" max="5898" width="18.83203125" customWidth="1"/>
    <col min="5899" max="5899" width="2.83203125" customWidth="1"/>
    <col min="6145" max="6145" width="2.83203125" customWidth="1"/>
    <col min="6146" max="6146" width="30.83203125" customWidth="1"/>
    <col min="6147" max="6147" width="2.83203125" customWidth="1"/>
    <col min="6148" max="6148" width="18.83203125" customWidth="1"/>
    <col min="6149" max="6149" width="4.83203125" customWidth="1"/>
    <col min="6150" max="6150" width="18.83203125" customWidth="1"/>
    <col min="6151" max="6151" width="4.83203125" customWidth="1"/>
    <col min="6152" max="6152" width="18.83203125" customWidth="1"/>
    <col min="6153" max="6153" width="4.83203125" customWidth="1"/>
    <col min="6154" max="6154" width="18.83203125" customWidth="1"/>
    <col min="6155" max="6155" width="2.83203125" customWidth="1"/>
    <col min="6401" max="6401" width="2.83203125" customWidth="1"/>
    <col min="6402" max="6402" width="30.83203125" customWidth="1"/>
    <col min="6403" max="6403" width="2.83203125" customWidth="1"/>
    <col min="6404" max="6404" width="18.83203125" customWidth="1"/>
    <col min="6405" max="6405" width="4.83203125" customWidth="1"/>
    <col min="6406" max="6406" width="18.83203125" customWidth="1"/>
    <col min="6407" max="6407" width="4.83203125" customWidth="1"/>
    <col min="6408" max="6408" width="18.83203125" customWidth="1"/>
    <col min="6409" max="6409" width="4.83203125" customWidth="1"/>
    <col min="6410" max="6410" width="18.83203125" customWidth="1"/>
    <col min="6411" max="6411" width="2.83203125" customWidth="1"/>
    <col min="6657" max="6657" width="2.83203125" customWidth="1"/>
    <col min="6658" max="6658" width="30.83203125" customWidth="1"/>
    <col min="6659" max="6659" width="2.83203125" customWidth="1"/>
    <col min="6660" max="6660" width="18.83203125" customWidth="1"/>
    <col min="6661" max="6661" width="4.83203125" customWidth="1"/>
    <col min="6662" max="6662" width="18.83203125" customWidth="1"/>
    <col min="6663" max="6663" width="4.83203125" customWidth="1"/>
    <col min="6664" max="6664" width="18.83203125" customWidth="1"/>
    <col min="6665" max="6665" width="4.83203125" customWidth="1"/>
    <col min="6666" max="6666" width="18.83203125" customWidth="1"/>
    <col min="6667" max="6667" width="2.83203125" customWidth="1"/>
    <col min="6913" max="6913" width="2.83203125" customWidth="1"/>
    <col min="6914" max="6914" width="30.83203125" customWidth="1"/>
    <col min="6915" max="6915" width="2.83203125" customWidth="1"/>
    <col min="6916" max="6916" width="18.83203125" customWidth="1"/>
    <col min="6917" max="6917" width="4.83203125" customWidth="1"/>
    <col min="6918" max="6918" width="18.83203125" customWidth="1"/>
    <col min="6919" max="6919" width="4.83203125" customWidth="1"/>
    <col min="6920" max="6920" width="18.83203125" customWidth="1"/>
    <col min="6921" max="6921" width="4.83203125" customWidth="1"/>
    <col min="6922" max="6922" width="18.83203125" customWidth="1"/>
    <col min="6923" max="6923" width="2.83203125" customWidth="1"/>
    <col min="7169" max="7169" width="2.83203125" customWidth="1"/>
    <col min="7170" max="7170" width="30.83203125" customWidth="1"/>
    <col min="7171" max="7171" width="2.83203125" customWidth="1"/>
    <col min="7172" max="7172" width="18.83203125" customWidth="1"/>
    <col min="7173" max="7173" width="4.83203125" customWidth="1"/>
    <col min="7174" max="7174" width="18.83203125" customWidth="1"/>
    <col min="7175" max="7175" width="4.83203125" customWidth="1"/>
    <col min="7176" max="7176" width="18.83203125" customWidth="1"/>
    <col min="7177" max="7177" width="4.83203125" customWidth="1"/>
    <col min="7178" max="7178" width="18.83203125" customWidth="1"/>
    <col min="7179" max="7179" width="2.83203125" customWidth="1"/>
    <col min="7425" max="7425" width="2.83203125" customWidth="1"/>
    <col min="7426" max="7426" width="30.83203125" customWidth="1"/>
    <col min="7427" max="7427" width="2.83203125" customWidth="1"/>
    <col min="7428" max="7428" width="18.83203125" customWidth="1"/>
    <col min="7429" max="7429" width="4.83203125" customWidth="1"/>
    <col min="7430" max="7430" width="18.83203125" customWidth="1"/>
    <col min="7431" max="7431" width="4.83203125" customWidth="1"/>
    <col min="7432" max="7432" width="18.83203125" customWidth="1"/>
    <col min="7433" max="7433" width="4.83203125" customWidth="1"/>
    <col min="7434" max="7434" width="18.83203125" customWidth="1"/>
    <col min="7435" max="7435" width="2.83203125" customWidth="1"/>
    <col min="7681" max="7681" width="2.83203125" customWidth="1"/>
    <col min="7682" max="7682" width="30.83203125" customWidth="1"/>
    <col min="7683" max="7683" width="2.83203125" customWidth="1"/>
    <col min="7684" max="7684" width="18.83203125" customWidth="1"/>
    <col min="7685" max="7685" width="4.83203125" customWidth="1"/>
    <col min="7686" max="7686" width="18.83203125" customWidth="1"/>
    <col min="7687" max="7687" width="4.83203125" customWidth="1"/>
    <col min="7688" max="7688" width="18.83203125" customWidth="1"/>
    <col min="7689" max="7689" width="4.83203125" customWidth="1"/>
    <col min="7690" max="7690" width="18.83203125" customWidth="1"/>
    <col min="7691" max="7691" width="2.83203125" customWidth="1"/>
    <col min="7937" max="7937" width="2.83203125" customWidth="1"/>
    <col min="7938" max="7938" width="30.83203125" customWidth="1"/>
    <col min="7939" max="7939" width="2.83203125" customWidth="1"/>
    <col min="7940" max="7940" width="18.83203125" customWidth="1"/>
    <col min="7941" max="7941" width="4.83203125" customWidth="1"/>
    <col min="7942" max="7942" width="18.83203125" customWidth="1"/>
    <col min="7943" max="7943" width="4.83203125" customWidth="1"/>
    <col min="7944" max="7944" width="18.83203125" customWidth="1"/>
    <col min="7945" max="7945" width="4.83203125" customWidth="1"/>
    <col min="7946" max="7946" width="18.83203125" customWidth="1"/>
    <col min="7947" max="7947" width="2.83203125" customWidth="1"/>
    <col min="8193" max="8193" width="2.83203125" customWidth="1"/>
    <col min="8194" max="8194" width="30.83203125" customWidth="1"/>
    <col min="8195" max="8195" width="2.83203125" customWidth="1"/>
    <col min="8196" max="8196" width="18.83203125" customWidth="1"/>
    <col min="8197" max="8197" width="4.83203125" customWidth="1"/>
    <col min="8198" max="8198" width="18.83203125" customWidth="1"/>
    <col min="8199" max="8199" width="4.83203125" customWidth="1"/>
    <col min="8200" max="8200" width="18.83203125" customWidth="1"/>
    <col min="8201" max="8201" width="4.83203125" customWidth="1"/>
    <col min="8202" max="8202" width="18.83203125" customWidth="1"/>
    <col min="8203" max="8203" width="2.83203125" customWidth="1"/>
    <col min="8449" max="8449" width="2.83203125" customWidth="1"/>
    <col min="8450" max="8450" width="30.83203125" customWidth="1"/>
    <col min="8451" max="8451" width="2.83203125" customWidth="1"/>
    <col min="8452" max="8452" width="18.83203125" customWidth="1"/>
    <col min="8453" max="8453" width="4.83203125" customWidth="1"/>
    <col min="8454" max="8454" width="18.83203125" customWidth="1"/>
    <col min="8455" max="8455" width="4.83203125" customWidth="1"/>
    <col min="8456" max="8456" width="18.83203125" customWidth="1"/>
    <col min="8457" max="8457" width="4.83203125" customWidth="1"/>
    <col min="8458" max="8458" width="18.83203125" customWidth="1"/>
    <col min="8459" max="8459" width="2.83203125" customWidth="1"/>
    <col min="8705" max="8705" width="2.83203125" customWidth="1"/>
    <col min="8706" max="8706" width="30.83203125" customWidth="1"/>
    <col min="8707" max="8707" width="2.83203125" customWidth="1"/>
    <col min="8708" max="8708" width="18.83203125" customWidth="1"/>
    <col min="8709" max="8709" width="4.83203125" customWidth="1"/>
    <col min="8710" max="8710" width="18.83203125" customWidth="1"/>
    <col min="8711" max="8711" width="4.83203125" customWidth="1"/>
    <col min="8712" max="8712" width="18.83203125" customWidth="1"/>
    <col min="8713" max="8713" width="4.83203125" customWidth="1"/>
    <col min="8714" max="8714" width="18.83203125" customWidth="1"/>
    <col min="8715" max="8715" width="2.83203125" customWidth="1"/>
    <col min="8961" max="8961" width="2.83203125" customWidth="1"/>
    <col min="8962" max="8962" width="30.83203125" customWidth="1"/>
    <col min="8963" max="8963" width="2.83203125" customWidth="1"/>
    <col min="8964" max="8964" width="18.83203125" customWidth="1"/>
    <col min="8965" max="8965" width="4.83203125" customWidth="1"/>
    <col min="8966" max="8966" width="18.83203125" customWidth="1"/>
    <col min="8967" max="8967" width="4.83203125" customWidth="1"/>
    <col min="8968" max="8968" width="18.83203125" customWidth="1"/>
    <col min="8969" max="8969" width="4.83203125" customWidth="1"/>
    <col min="8970" max="8970" width="18.83203125" customWidth="1"/>
    <col min="8971" max="8971" width="2.83203125" customWidth="1"/>
    <col min="9217" max="9217" width="2.83203125" customWidth="1"/>
    <col min="9218" max="9218" width="30.83203125" customWidth="1"/>
    <col min="9219" max="9219" width="2.83203125" customWidth="1"/>
    <col min="9220" max="9220" width="18.83203125" customWidth="1"/>
    <col min="9221" max="9221" width="4.83203125" customWidth="1"/>
    <col min="9222" max="9222" width="18.83203125" customWidth="1"/>
    <col min="9223" max="9223" width="4.83203125" customWidth="1"/>
    <col min="9224" max="9224" width="18.83203125" customWidth="1"/>
    <col min="9225" max="9225" width="4.83203125" customWidth="1"/>
    <col min="9226" max="9226" width="18.83203125" customWidth="1"/>
    <col min="9227" max="9227" width="2.83203125" customWidth="1"/>
    <col min="9473" max="9473" width="2.83203125" customWidth="1"/>
    <col min="9474" max="9474" width="30.83203125" customWidth="1"/>
    <col min="9475" max="9475" width="2.83203125" customWidth="1"/>
    <col min="9476" max="9476" width="18.83203125" customWidth="1"/>
    <col min="9477" max="9477" width="4.83203125" customWidth="1"/>
    <col min="9478" max="9478" width="18.83203125" customWidth="1"/>
    <col min="9479" max="9479" width="4.83203125" customWidth="1"/>
    <col min="9480" max="9480" width="18.83203125" customWidth="1"/>
    <col min="9481" max="9481" width="4.83203125" customWidth="1"/>
    <col min="9482" max="9482" width="18.83203125" customWidth="1"/>
    <col min="9483" max="9483" width="2.83203125" customWidth="1"/>
    <col min="9729" max="9729" width="2.83203125" customWidth="1"/>
    <col min="9730" max="9730" width="30.83203125" customWidth="1"/>
    <col min="9731" max="9731" width="2.83203125" customWidth="1"/>
    <col min="9732" max="9732" width="18.83203125" customWidth="1"/>
    <col min="9733" max="9733" width="4.83203125" customWidth="1"/>
    <col min="9734" max="9734" width="18.83203125" customWidth="1"/>
    <col min="9735" max="9735" width="4.83203125" customWidth="1"/>
    <col min="9736" max="9736" width="18.83203125" customWidth="1"/>
    <col min="9737" max="9737" width="4.83203125" customWidth="1"/>
    <col min="9738" max="9738" width="18.83203125" customWidth="1"/>
    <col min="9739" max="9739" width="2.83203125" customWidth="1"/>
    <col min="9985" max="9985" width="2.83203125" customWidth="1"/>
    <col min="9986" max="9986" width="30.83203125" customWidth="1"/>
    <col min="9987" max="9987" width="2.83203125" customWidth="1"/>
    <col min="9988" max="9988" width="18.83203125" customWidth="1"/>
    <col min="9989" max="9989" width="4.83203125" customWidth="1"/>
    <col min="9990" max="9990" width="18.83203125" customWidth="1"/>
    <col min="9991" max="9991" width="4.83203125" customWidth="1"/>
    <col min="9992" max="9992" width="18.83203125" customWidth="1"/>
    <col min="9993" max="9993" width="4.83203125" customWidth="1"/>
    <col min="9994" max="9994" width="18.83203125" customWidth="1"/>
    <col min="9995" max="9995" width="2.83203125" customWidth="1"/>
    <col min="10241" max="10241" width="2.83203125" customWidth="1"/>
    <col min="10242" max="10242" width="30.83203125" customWidth="1"/>
    <col min="10243" max="10243" width="2.83203125" customWidth="1"/>
    <col min="10244" max="10244" width="18.83203125" customWidth="1"/>
    <col min="10245" max="10245" width="4.83203125" customWidth="1"/>
    <col min="10246" max="10246" width="18.83203125" customWidth="1"/>
    <col min="10247" max="10247" width="4.83203125" customWidth="1"/>
    <col min="10248" max="10248" width="18.83203125" customWidth="1"/>
    <col min="10249" max="10249" width="4.83203125" customWidth="1"/>
    <col min="10250" max="10250" width="18.83203125" customWidth="1"/>
    <col min="10251" max="10251" width="2.83203125" customWidth="1"/>
    <col min="10497" max="10497" width="2.83203125" customWidth="1"/>
    <col min="10498" max="10498" width="30.83203125" customWidth="1"/>
    <col min="10499" max="10499" width="2.83203125" customWidth="1"/>
    <col min="10500" max="10500" width="18.83203125" customWidth="1"/>
    <col min="10501" max="10501" width="4.83203125" customWidth="1"/>
    <col min="10502" max="10502" width="18.83203125" customWidth="1"/>
    <col min="10503" max="10503" width="4.83203125" customWidth="1"/>
    <col min="10504" max="10504" width="18.83203125" customWidth="1"/>
    <col min="10505" max="10505" width="4.83203125" customWidth="1"/>
    <col min="10506" max="10506" width="18.83203125" customWidth="1"/>
    <col min="10507" max="10507" width="2.83203125" customWidth="1"/>
    <col min="10753" max="10753" width="2.83203125" customWidth="1"/>
    <col min="10754" max="10754" width="30.83203125" customWidth="1"/>
    <col min="10755" max="10755" width="2.83203125" customWidth="1"/>
    <col min="10756" max="10756" width="18.83203125" customWidth="1"/>
    <col min="10757" max="10757" width="4.83203125" customWidth="1"/>
    <col min="10758" max="10758" width="18.83203125" customWidth="1"/>
    <col min="10759" max="10759" width="4.83203125" customWidth="1"/>
    <col min="10760" max="10760" width="18.83203125" customWidth="1"/>
    <col min="10761" max="10761" width="4.83203125" customWidth="1"/>
    <col min="10762" max="10762" width="18.83203125" customWidth="1"/>
    <col min="10763" max="10763" width="2.83203125" customWidth="1"/>
    <col min="11009" max="11009" width="2.83203125" customWidth="1"/>
    <col min="11010" max="11010" width="30.83203125" customWidth="1"/>
    <col min="11011" max="11011" width="2.83203125" customWidth="1"/>
    <col min="11012" max="11012" width="18.83203125" customWidth="1"/>
    <col min="11013" max="11013" width="4.83203125" customWidth="1"/>
    <col min="11014" max="11014" width="18.83203125" customWidth="1"/>
    <col min="11015" max="11015" width="4.83203125" customWidth="1"/>
    <col min="11016" max="11016" width="18.83203125" customWidth="1"/>
    <col min="11017" max="11017" width="4.83203125" customWidth="1"/>
    <col min="11018" max="11018" width="18.83203125" customWidth="1"/>
    <col min="11019" max="11019" width="2.83203125" customWidth="1"/>
    <col min="11265" max="11265" width="2.83203125" customWidth="1"/>
    <col min="11266" max="11266" width="30.83203125" customWidth="1"/>
    <col min="11267" max="11267" width="2.83203125" customWidth="1"/>
    <col min="11268" max="11268" width="18.83203125" customWidth="1"/>
    <col min="11269" max="11269" width="4.83203125" customWidth="1"/>
    <col min="11270" max="11270" width="18.83203125" customWidth="1"/>
    <col min="11271" max="11271" width="4.83203125" customWidth="1"/>
    <col min="11272" max="11272" width="18.83203125" customWidth="1"/>
    <col min="11273" max="11273" width="4.83203125" customWidth="1"/>
    <col min="11274" max="11274" width="18.83203125" customWidth="1"/>
    <col min="11275" max="11275" width="2.83203125" customWidth="1"/>
    <col min="11521" max="11521" width="2.83203125" customWidth="1"/>
    <col min="11522" max="11522" width="30.83203125" customWidth="1"/>
    <col min="11523" max="11523" width="2.83203125" customWidth="1"/>
    <col min="11524" max="11524" width="18.83203125" customWidth="1"/>
    <col min="11525" max="11525" width="4.83203125" customWidth="1"/>
    <col min="11526" max="11526" width="18.83203125" customWidth="1"/>
    <col min="11527" max="11527" width="4.83203125" customWidth="1"/>
    <col min="11528" max="11528" width="18.83203125" customWidth="1"/>
    <col min="11529" max="11529" width="4.83203125" customWidth="1"/>
    <col min="11530" max="11530" width="18.83203125" customWidth="1"/>
    <col min="11531" max="11531" width="2.83203125" customWidth="1"/>
    <col min="11777" max="11777" width="2.83203125" customWidth="1"/>
    <col min="11778" max="11778" width="30.83203125" customWidth="1"/>
    <col min="11779" max="11779" width="2.83203125" customWidth="1"/>
    <col min="11780" max="11780" width="18.83203125" customWidth="1"/>
    <col min="11781" max="11781" width="4.83203125" customWidth="1"/>
    <col min="11782" max="11782" width="18.83203125" customWidth="1"/>
    <col min="11783" max="11783" width="4.83203125" customWidth="1"/>
    <col min="11784" max="11784" width="18.83203125" customWidth="1"/>
    <col min="11785" max="11785" width="4.83203125" customWidth="1"/>
    <col min="11786" max="11786" width="18.83203125" customWidth="1"/>
    <col min="11787" max="11787" width="2.83203125" customWidth="1"/>
    <col min="12033" max="12033" width="2.83203125" customWidth="1"/>
    <col min="12034" max="12034" width="30.83203125" customWidth="1"/>
    <col min="12035" max="12035" width="2.83203125" customWidth="1"/>
    <col min="12036" max="12036" width="18.83203125" customWidth="1"/>
    <col min="12037" max="12037" width="4.83203125" customWidth="1"/>
    <col min="12038" max="12038" width="18.83203125" customWidth="1"/>
    <col min="12039" max="12039" width="4.83203125" customWidth="1"/>
    <col min="12040" max="12040" width="18.83203125" customWidth="1"/>
    <col min="12041" max="12041" width="4.83203125" customWidth="1"/>
    <col min="12042" max="12042" width="18.83203125" customWidth="1"/>
    <col min="12043" max="12043" width="2.83203125" customWidth="1"/>
    <col min="12289" max="12289" width="2.83203125" customWidth="1"/>
    <col min="12290" max="12290" width="30.83203125" customWidth="1"/>
    <col min="12291" max="12291" width="2.83203125" customWidth="1"/>
    <col min="12292" max="12292" width="18.83203125" customWidth="1"/>
    <col min="12293" max="12293" width="4.83203125" customWidth="1"/>
    <col min="12294" max="12294" width="18.83203125" customWidth="1"/>
    <col min="12295" max="12295" width="4.83203125" customWidth="1"/>
    <col min="12296" max="12296" width="18.83203125" customWidth="1"/>
    <col min="12297" max="12297" width="4.83203125" customWidth="1"/>
    <col min="12298" max="12298" width="18.83203125" customWidth="1"/>
    <col min="12299" max="12299" width="2.83203125" customWidth="1"/>
    <col min="12545" max="12545" width="2.83203125" customWidth="1"/>
    <col min="12546" max="12546" width="30.83203125" customWidth="1"/>
    <col min="12547" max="12547" width="2.83203125" customWidth="1"/>
    <col min="12548" max="12548" width="18.83203125" customWidth="1"/>
    <col min="12549" max="12549" width="4.83203125" customWidth="1"/>
    <col min="12550" max="12550" width="18.83203125" customWidth="1"/>
    <col min="12551" max="12551" width="4.83203125" customWidth="1"/>
    <col min="12552" max="12552" width="18.83203125" customWidth="1"/>
    <col min="12553" max="12553" width="4.83203125" customWidth="1"/>
    <col min="12554" max="12554" width="18.83203125" customWidth="1"/>
    <col min="12555" max="12555" width="2.83203125" customWidth="1"/>
    <col min="12801" max="12801" width="2.83203125" customWidth="1"/>
    <col min="12802" max="12802" width="30.83203125" customWidth="1"/>
    <col min="12803" max="12803" width="2.83203125" customWidth="1"/>
    <col min="12804" max="12804" width="18.83203125" customWidth="1"/>
    <col min="12805" max="12805" width="4.83203125" customWidth="1"/>
    <col min="12806" max="12806" width="18.83203125" customWidth="1"/>
    <col min="12807" max="12807" width="4.83203125" customWidth="1"/>
    <col min="12808" max="12808" width="18.83203125" customWidth="1"/>
    <col min="12809" max="12809" width="4.83203125" customWidth="1"/>
    <col min="12810" max="12810" width="18.83203125" customWidth="1"/>
    <col min="12811" max="12811" width="2.83203125" customWidth="1"/>
    <col min="13057" max="13057" width="2.83203125" customWidth="1"/>
    <col min="13058" max="13058" width="30.83203125" customWidth="1"/>
    <col min="13059" max="13059" width="2.83203125" customWidth="1"/>
    <col min="13060" max="13060" width="18.83203125" customWidth="1"/>
    <col min="13061" max="13061" width="4.83203125" customWidth="1"/>
    <col min="13062" max="13062" width="18.83203125" customWidth="1"/>
    <col min="13063" max="13063" width="4.83203125" customWidth="1"/>
    <col min="13064" max="13064" width="18.83203125" customWidth="1"/>
    <col min="13065" max="13065" width="4.83203125" customWidth="1"/>
    <col min="13066" max="13066" width="18.83203125" customWidth="1"/>
    <col min="13067" max="13067" width="2.83203125" customWidth="1"/>
    <col min="13313" max="13313" width="2.83203125" customWidth="1"/>
    <col min="13314" max="13314" width="30.83203125" customWidth="1"/>
    <col min="13315" max="13315" width="2.83203125" customWidth="1"/>
    <col min="13316" max="13316" width="18.83203125" customWidth="1"/>
    <col min="13317" max="13317" width="4.83203125" customWidth="1"/>
    <col min="13318" max="13318" width="18.83203125" customWidth="1"/>
    <col min="13319" max="13319" width="4.83203125" customWidth="1"/>
    <col min="13320" max="13320" width="18.83203125" customWidth="1"/>
    <col min="13321" max="13321" width="4.83203125" customWidth="1"/>
    <col min="13322" max="13322" width="18.83203125" customWidth="1"/>
    <col min="13323" max="13323" width="2.83203125" customWidth="1"/>
    <col min="13569" max="13569" width="2.83203125" customWidth="1"/>
    <col min="13570" max="13570" width="30.83203125" customWidth="1"/>
    <col min="13571" max="13571" width="2.83203125" customWidth="1"/>
    <col min="13572" max="13572" width="18.83203125" customWidth="1"/>
    <col min="13573" max="13573" width="4.83203125" customWidth="1"/>
    <col min="13574" max="13574" width="18.83203125" customWidth="1"/>
    <col min="13575" max="13575" width="4.83203125" customWidth="1"/>
    <col min="13576" max="13576" width="18.83203125" customWidth="1"/>
    <col min="13577" max="13577" width="4.83203125" customWidth="1"/>
    <col min="13578" max="13578" width="18.83203125" customWidth="1"/>
    <col min="13579" max="13579" width="2.83203125" customWidth="1"/>
    <col min="13825" max="13825" width="2.83203125" customWidth="1"/>
    <col min="13826" max="13826" width="30.83203125" customWidth="1"/>
    <col min="13827" max="13827" width="2.83203125" customWidth="1"/>
    <col min="13828" max="13828" width="18.83203125" customWidth="1"/>
    <col min="13829" max="13829" width="4.83203125" customWidth="1"/>
    <col min="13830" max="13830" width="18.83203125" customWidth="1"/>
    <col min="13831" max="13831" width="4.83203125" customWidth="1"/>
    <col min="13832" max="13832" width="18.83203125" customWidth="1"/>
    <col min="13833" max="13833" width="4.83203125" customWidth="1"/>
    <col min="13834" max="13834" width="18.83203125" customWidth="1"/>
    <col min="13835" max="13835" width="2.83203125" customWidth="1"/>
    <col min="14081" max="14081" width="2.83203125" customWidth="1"/>
    <col min="14082" max="14082" width="30.83203125" customWidth="1"/>
    <col min="14083" max="14083" width="2.83203125" customWidth="1"/>
    <col min="14084" max="14084" width="18.83203125" customWidth="1"/>
    <col min="14085" max="14085" width="4.83203125" customWidth="1"/>
    <col min="14086" max="14086" width="18.83203125" customWidth="1"/>
    <col min="14087" max="14087" width="4.83203125" customWidth="1"/>
    <col min="14088" max="14088" width="18.83203125" customWidth="1"/>
    <col min="14089" max="14089" width="4.83203125" customWidth="1"/>
    <col min="14090" max="14090" width="18.83203125" customWidth="1"/>
    <col min="14091" max="14091" width="2.83203125" customWidth="1"/>
    <col min="14337" max="14337" width="2.83203125" customWidth="1"/>
    <col min="14338" max="14338" width="30.83203125" customWidth="1"/>
    <col min="14339" max="14339" width="2.83203125" customWidth="1"/>
    <col min="14340" max="14340" width="18.83203125" customWidth="1"/>
    <col min="14341" max="14341" width="4.83203125" customWidth="1"/>
    <col min="14342" max="14342" width="18.83203125" customWidth="1"/>
    <col min="14343" max="14343" width="4.83203125" customWidth="1"/>
    <col min="14344" max="14344" width="18.83203125" customWidth="1"/>
    <col min="14345" max="14345" width="4.83203125" customWidth="1"/>
    <col min="14346" max="14346" width="18.83203125" customWidth="1"/>
    <col min="14347" max="14347" width="2.83203125" customWidth="1"/>
    <col min="14593" max="14593" width="2.83203125" customWidth="1"/>
    <col min="14594" max="14594" width="30.83203125" customWidth="1"/>
    <col min="14595" max="14595" width="2.83203125" customWidth="1"/>
    <col min="14596" max="14596" width="18.83203125" customWidth="1"/>
    <col min="14597" max="14597" width="4.83203125" customWidth="1"/>
    <col min="14598" max="14598" width="18.83203125" customWidth="1"/>
    <col min="14599" max="14599" width="4.83203125" customWidth="1"/>
    <col min="14600" max="14600" width="18.83203125" customWidth="1"/>
    <col min="14601" max="14601" width="4.83203125" customWidth="1"/>
    <col min="14602" max="14602" width="18.83203125" customWidth="1"/>
    <col min="14603" max="14603" width="2.83203125" customWidth="1"/>
    <col min="14849" max="14849" width="2.83203125" customWidth="1"/>
    <col min="14850" max="14850" width="30.83203125" customWidth="1"/>
    <col min="14851" max="14851" width="2.83203125" customWidth="1"/>
    <col min="14852" max="14852" width="18.83203125" customWidth="1"/>
    <col min="14853" max="14853" width="4.83203125" customWidth="1"/>
    <col min="14854" max="14854" width="18.83203125" customWidth="1"/>
    <col min="14855" max="14855" width="4.83203125" customWidth="1"/>
    <col min="14856" max="14856" width="18.83203125" customWidth="1"/>
    <col min="14857" max="14857" width="4.83203125" customWidth="1"/>
    <col min="14858" max="14858" width="18.83203125" customWidth="1"/>
    <col min="14859" max="14859" width="2.83203125" customWidth="1"/>
    <col min="15105" max="15105" width="2.83203125" customWidth="1"/>
    <col min="15106" max="15106" width="30.83203125" customWidth="1"/>
    <col min="15107" max="15107" width="2.83203125" customWidth="1"/>
    <col min="15108" max="15108" width="18.83203125" customWidth="1"/>
    <col min="15109" max="15109" width="4.83203125" customWidth="1"/>
    <col min="15110" max="15110" width="18.83203125" customWidth="1"/>
    <col min="15111" max="15111" width="4.83203125" customWidth="1"/>
    <col min="15112" max="15112" width="18.83203125" customWidth="1"/>
    <col min="15113" max="15113" width="4.83203125" customWidth="1"/>
    <col min="15114" max="15114" width="18.83203125" customWidth="1"/>
    <col min="15115" max="15115" width="2.83203125" customWidth="1"/>
    <col min="15361" max="15361" width="2.83203125" customWidth="1"/>
    <col min="15362" max="15362" width="30.83203125" customWidth="1"/>
    <col min="15363" max="15363" width="2.83203125" customWidth="1"/>
    <col min="15364" max="15364" width="18.83203125" customWidth="1"/>
    <col min="15365" max="15365" width="4.83203125" customWidth="1"/>
    <col min="15366" max="15366" width="18.83203125" customWidth="1"/>
    <col min="15367" max="15367" width="4.83203125" customWidth="1"/>
    <col min="15368" max="15368" width="18.83203125" customWidth="1"/>
    <col min="15369" max="15369" width="4.83203125" customWidth="1"/>
    <col min="15370" max="15370" width="18.83203125" customWidth="1"/>
    <col min="15371" max="15371" width="2.83203125" customWidth="1"/>
    <col min="15617" max="15617" width="2.83203125" customWidth="1"/>
    <col min="15618" max="15618" width="30.83203125" customWidth="1"/>
    <col min="15619" max="15619" width="2.83203125" customWidth="1"/>
    <col min="15620" max="15620" width="18.83203125" customWidth="1"/>
    <col min="15621" max="15621" width="4.83203125" customWidth="1"/>
    <col min="15622" max="15622" width="18.83203125" customWidth="1"/>
    <col min="15623" max="15623" width="4.83203125" customWidth="1"/>
    <col min="15624" max="15624" width="18.83203125" customWidth="1"/>
    <col min="15625" max="15625" width="4.83203125" customWidth="1"/>
    <col min="15626" max="15626" width="18.83203125" customWidth="1"/>
    <col min="15627" max="15627" width="2.83203125" customWidth="1"/>
    <col min="15873" max="15873" width="2.83203125" customWidth="1"/>
    <col min="15874" max="15874" width="30.83203125" customWidth="1"/>
    <col min="15875" max="15875" width="2.83203125" customWidth="1"/>
    <col min="15876" max="15876" width="18.83203125" customWidth="1"/>
    <col min="15877" max="15877" width="4.83203125" customWidth="1"/>
    <col min="15878" max="15878" width="18.83203125" customWidth="1"/>
    <col min="15879" max="15879" width="4.83203125" customWidth="1"/>
    <col min="15880" max="15880" width="18.83203125" customWidth="1"/>
    <col min="15881" max="15881" width="4.83203125" customWidth="1"/>
    <col min="15882" max="15882" width="18.83203125" customWidth="1"/>
    <col min="15883" max="15883" width="2.83203125" customWidth="1"/>
    <col min="16129" max="16129" width="2.83203125" customWidth="1"/>
    <col min="16130" max="16130" width="30.83203125" customWidth="1"/>
    <col min="16131" max="16131" width="2.83203125" customWidth="1"/>
    <col min="16132" max="16132" width="18.83203125" customWidth="1"/>
    <col min="16133" max="16133" width="4.83203125" customWidth="1"/>
    <col min="16134" max="16134" width="18.83203125" customWidth="1"/>
    <col min="16135" max="16135" width="4.83203125" customWidth="1"/>
    <col min="16136" max="16136" width="18.83203125" customWidth="1"/>
    <col min="16137" max="16137" width="4.83203125" customWidth="1"/>
    <col min="16138" max="16138" width="18.83203125" customWidth="1"/>
    <col min="16139" max="16139" width="2.83203125" customWidth="1"/>
  </cols>
  <sheetData>
    <row r="1" spans="1:12" x14ac:dyDescent="0.2">
      <c r="A1" s="314"/>
      <c r="B1" s="315"/>
      <c r="C1" s="315"/>
      <c r="D1" s="315"/>
      <c r="E1" s="315"/>
      <c r="F1" s="315"/>
      <c r="G1" s="315"/>
      <c r="H1" s="315"/>
      <c r="I1" s="315"/>
      <c r="J1" s="315"/>
      <c r="K1" s="316"/>
    </row>
    <row r="2" spans="1:12" ht="18.75" x14ac:dyDescent="0.3">
      <c r="A2" s="317"/>
      <c r="B2" s="374" t="s">
        <v>653</v>
      </c>
      <c r="C2" s="375"/>
      <c r="D2" s="375"/>
      <c r="E2" s="375"/>
      <c r="F2" s="375"/>
      <c r="G2" s="375"/>
      <c r="H2" s="375"/>
      <c r="I2" s="380"/>
      <c r="J2" s="381"/>
      <c r="K2" s="318"/>
      <c r="L2" s="239"/>
    </row>
    <row r="3" spans="1:12" x14ac:dyDescent="0.2">
      <c r="A3" s="317"/>
      <c r="B3" s="319"/>
      <c r="C3" s="319"/>
      <c r="D3" s="319"/>
      <c r="E3" s="319"/>
      <c r="F3" s="319"/>
      <c r="G3" s="319"/>
      <c r="H3" s="319"/>
      <c r="I3" s="319"/>
      <c r="J3" s="319"/>
      <c r="K3" s="320"/>
    </row>
    <row r="4" spans="1:12" x14ac:dyDescent="0.2">
      <c r="A4" s="317"/>
      <c r="B4" s="379" t="s">
        <v>654</v>
      </c>
      <c r="C4" s="345"/>
      <c r="D4" s="345"/>
      <c r="E4" s="345"/>
      <c r="F4" s="345"/>
      <c r="G4" s="345"/>
      <c r="H4" s="345"/>
      <c r="I4" s="345"/>
      <c r="J4" s="345"/>
      <c r="K4" s="320"/>
    </row>
    <row r="5" spans="1:12" x14ac:dyDescent="0.2">
      <c r="A5" s="317"/>
      <c r="B5" s="345"/>
      <c r="C5" s="345"/>
      <c r="D5" s="345"/>
      <c r="E5" s="345"/>
      <c r="F5" s="345"/>
      <c r="G5" s="345"/>
      <c r="H5" s="345"/>
      <c r="I5" s="345"/>
      <c r="J5" s="345"/>
      <c r="K5" s="320"/>
    </row>
    <row r="6" spans="1:12" x14ac:dyDescent="0.2">
      <c r="A6" s="317"/>
      <c r="B6" s="345"/>
      <c r="C6" s="345"/>
      <c r="D6" s="345"/>
      <c r="E6" s="345"/>
      <c r="F6" s="345"/>
      <c r="G6" s="345"/>
      <c r="H6" s="345"/>
      <c r="I6" s="345"/>
      <c r="J6" s="345"/>
      <c r="K6" s="320"/>
    </row>
    <row r="7" spans="1:12" x14ac:dyDescent="0.2">
      <c r="A7" s="317"/>
      <c r="B7" s="319"/>
      <c r="C7" s="319"/>
      <c r="D7" s="319"/>
      <c r="E7" s="319"/>
      <c r="F7" s="319"/>
      <c r="G7" s="319"/>
      <c r="H7" s="319"/>
      <c r="I7" s="319"/>
      <c r="J7" s="319"/>
      <c r="K7" s="320"/>
    </row>
    <row r="8" spans="1:12" x14ac:dyDescent="0.2">
      <c r="A8" s="317"/>
      <c r="B8" s="379" t="s">
        <v>655</v>
      </c>
      <c r="C8" s="345"/>
      <c r="D8" s="345"/>
      <c r="E8" s="345"/>
      <c r="F8" s="345"/>
      <c r="G8" s="345"/>
      <c r="H8" s="345"/>
      <c r="I8" s="345"/>
      <c r="J8" s="345"/>
      <c r="K8" s="320"/>
    </row>
    <row r="9" spans="1:12" x14ac:dyDescent="0.2">
      <c r="A9" s="317"/>
      <c r="B9" s="345"/>
      <c r="C9" s="345"/>
      <c r="D9" s="345"/>
      <c r="E9" s="345"/>
      <c r="F9" s="345"/>
      <c r="G9" s="345"/>
      <c r="H9" s="345"/>
      <c r="I9" s="345"/>
      <c r="J9" s="345"/>
      <c r="K9" s="320"/>
    </row>
    <row r="10" spans="1:12" x14ac:dyDescent="0.2">
      <c r="A10" s="317"/>
      <c r="B10" s="345"/>
      <c r="C10" s="345"/>
      <c r="D10" s="345"/>
      <c r="E10" s="345"/>
      <c r="F10" s="345"/>
      <c r="G10" s="345"/>
      <c r="H10" s="345"/>
      <c r="I10" s="345"/>
      <c r="J10" s="345"/>
      <c r="K10" s="320"/>
    </row>
    <row r="11" spans="1:12" x14ac:dyDescent="0.2">
      <c r="A11" s="317"/>
      <c r="B11" s="319"/>
      <c r="C11" s="319"/>
      <c r="D11" s="319"/>
      <c r="E11" s="319"/>
      <c r="F11" s="319"/>
      <c r="G11" s="319"/>
      <c r="H11" s="319"/>
      <c r="I11" s="319"/>
      <c r="J11" s="319"/>
      <c r="K11" s="320"/>
    </row>
    <row r="12" spans="1:12" x14ac:dyDescent="0.2">
      <c r="A12" s="317"/>
      <c r="B12" s="379" t="s">
        <v>656</v>
      </c>
      <c r="C12" s="345"/>
      <c r="D12" s="345"/>
      <c r="E12" s="345"/>
      <c r="F12" s="345"/>
      <c r="G12" s="345"/>
      <c r="H12" s="345"/>
      <c r="I12" s="345"/>
      <c r="J12" s="345"/>
      <c r="K12" s="320"/>
    </row>
    <row r="13" spans="1:12" x14ac:dyDescent="0.2">
      <c r="A13" s="317"/>
      <c r="B13" s="345"/>
      <c r="C13" s="345"/>
      <c r="D13" s="345"/>
      <c r="E13" s="345"/>
      <c r="F13" s="345"/>
      <c r="G13" s="345"/>
      <c r="H13" s="345"/>
      <c r="I13" s="345"/>
      <c r="J13" s="345"/>
      <c r="K13" s="320"/>
    </row>
    <row r="14" spans="1:12" x14ac:dyDescent="0.2">
      <c r="A14" s="317"/>
      <c r="B14" s="345"/>
      <c r="C14" s="345"/>
      <c r="D14" s="345"/>
      <c r="E14" s="345"/>
      <c r="F14" s="345"/>
      <c r="G14" s="345"/>
      <c r="H14" s="345"/>
      <c r="I14" s="345"/>
      <c r="J14" s="345"/>
      <c r="K14" s="320"/>
    </row>
    <row r="15" spans="1:12" x14ac:dyDescent="0.2">
      <c r="A15" s="317"/>
      <c r="B15" s="319"/>
      <c r="C15" s="319"/>
      <c r="D15" s="319"/>
      <c r="E15" s="319"/>
      <c r="F15" s="319"/>
      <c r="G15" s="319"/>
      <c r="H15" s="319"/>
      <c r="I15" s="319"/>
      <c r="J15" s="319"/>
      <c r="K15" s="320"/>
    </row>
    <row r="16" spans="1:12" x14ac:dyDescent="0.2">
      <c r="A16" s="317"/>
      <c r="B16" s="379" t="s">
        <v>657</v>
      </c>
      <c r="C16" s="345"/>
      <c r="D16" s="345"/>
      <c r="E16" s="345"/>
      <c r="F16" s="345"/>
      <c r="G16" s="345"/>
      <c r="H16" s="345"/>
      <c r="I16" s="345"/>
      <c r="J16" s="345"/>
      <c r="K16" s="320"/>
    </row>
    <row r="17" spans="1:11" x14ac:dyDescent="0.2">
      <c r="A17" s="317"/>
      <c r="B17" s="345"/>
      <c r="C17" s="345"/>
      <c r="D17" s="345"/>
      <c r="E17" s="345"/>
      <c r="F17" s="345"/>
      <c r="G17" s="345"/>
      <c r="H17" s="345"/>
      <c r="I17" s="345"/>
      <c r="J17" s="345"/>
      <c r="K17" s="320"/>
    </row>
    <row r="18" spans="1:11" x14ac:dyDescent="0.2">
      <c r="A18" s="317"/>
      <c r="B18" s="312"/>
      <c r="C18" s="312"/>
      <c r="D18" s="312"/>
      <c r="E18" s="312"/>
      <c r="F18" s="312"/>
      <c r="G18" s="312"/>
      <c r="H18" s="312"/>
      <c r="I18" s="312"/>
      <c r="J18" s="312"/>
      <c r="K18" s="320"/>
    </row>
    <row r="19" spans="1:11" x14ac:dyDescent="0.2">
      <c r="A19" s="317"/>
      <c r="B19" s="319"/>
      <c r="C19" s="319"/>
      <c r="D19" s="254" t="s">
        <v>615</v>
      </c>
      <c r="E19" s="268"/>
      <c r="F19" s="254" t="s">
        <v>616</v>
      </c>
      <c r="G19" s="268"/>
      <c r="H19" s="254" t="s">
        <v>617</v>
      </c>
      <c r="I19" s="268"/>
      <c r="J19" s="254" t="s">
        <v>280</v>
      </c>
      <c r="K19" s="320"/>
    </row>
    <row r="20" spans="1:11" x14ac:dyDescent="0.2">
      <c r="A20" s="317"/>
      <c r="B20" s="252" t="s">
        <v>609</v>
      </c>
      <c r="C20" s="319"/>
      <c r="D20" s="321">
        <v>30000000</v>
      </c>
      <c r="E20" s="322"/>
      <c r="F20" s="323">
        <f>D20</f>
        <v>30000000</v>
      </c>
      <c r="G20" s="252"/>
      <c r="H20" s="323">
        <f>D20</f>
        <v>30000000</v>
      </c>
      <c r="I20" s="252"/>
      <c r="J20" s="323">
        <f>D20</f>
        <v>30000000</v>
      </c>
      <c r="K20" s="320"/>
    </row>
    <row r="21" spans="1:11" x14ac:dyDescent="0.2">
      <c r="A21" s="317"/>
      <c r="B21" s="252" t="s">
        <v>610</v>
      </c>
      <c r="C21" s="319"/>
      <c r="D21" s="322">
        <v>792</v>
      </c>
      <c r="E21" s="322"/>
      <c r="F21" s="322">
        <v>794</v>
      </c>
      <c r="G21" s="322"/>
      <c r="H21" s="322">
        <v>792</v>
      </c>
      <c r="I21" s="322"/>
      <c r="J21" s="322">
        <v>790</v>
      </c>
      <c r="K21" s="320"/>
    </row>
    <row r="22" spans="1:11" x14ac:dyDescent="0.2">
      <c r="A22" s="317"/>
      <c r="B22" s="252" t="s">
        <v>310</v>
      </c>
      <c r="C22" s="319"/>
      <c r="D22" s="322">
        <v>800</v>
      </c>
      <c r="E22" s="322"/>
      <c r="F22" s="322">
        <v>800</v>
      </c>
      <c r="G22" s="322"/>
      <c r="H22" s="322">
        <v>800</v>
      </c>
      <c r="I22" s="322"/>
      <c r="J22" s="322">
        <v>800</v>
      </c>
      <c r="K22" s="320"/>
    </row>
    <row r="23" spans="1:11" x14ac:dyDescent="0.2">
      <c r="A23" s="317"/>
      <c r="B23" s="252" t="s">
        <v>611</v>
      </c>
      <c r="C23" s="319"/>
      <c r="D23" s="322"/>
      <c r="E23" s="322"/>
      <c r="F23" s="322"/>
      <c r="G23" s="322"/>
      <c r="H23" s="322"/>
      <c r="I23" s="322"/>
      <c r="J23" s="324">
        <v>2.9000000000000001E-2</v>
      </c>
      <c r="K23" s="320"/>
    </row>
    <row r="24" spans="1:11" x14ac:dyDescent="0.2">
      <c r="A24" s="317"/>
      <c r="B24" s="252" t="s">
        <v>612</v>
      </c>
      <c r="C24" s="319"/>
      <c r="D24" s="322"/>
      <c r="E24" s="322"/>
      <c r="F24" s="322"/>
      <c r="G24" s="322"/>
      <c r="H24" s="324">
        <v>0.06</v>
      </c>
      <c r="I24" s="322"/>
      <c r="J24" s="324">
        <v>0.06</v>
      </c>
      <c r="K24" s="320"/>
    </row>
    <row r="25" spans="1:11" x14ac:dyDescent="0.2">
      <c r="A25" s="317"/>
      <c r="B25" s="252" t="s">
        <v>613</v>
      </c>
      <c r="C25" s="319"/>
      <c r="D25" s="322"/>
      <c r="E25" s="322"/>
      <c r="F25" s="322"/>
      <c r="G25" s="322"/>
      <c r="H25" s="324">
        <v>9.375E-2</v>
      </c>
      <c r="I25" s="322"/>
      <c r="J25" s="324">
        <v>9.375E-2</v>
      </c>
      <c r="K25" s="320"/>
    </row>
    <row r="26" spans="1:11" x14ac:dyDescent="0.2">
      <c r="A26" s="317"/>
      <c r="B26" s="252" t="s">
        <v>614</v>
      </c>
      <c r="C26" s="319"/>
      <c r="D26" s="324">
        <v>0.05</v>
      </c>
      <c r="E26" s="324"/>
      <c r="F26" s="324">
        <v>0.05</v>
      </c>
      <c r="G26" s="322"/>
      <c r="H26" s="324">
        <v>0.05</v>
      </c>
      <c r="I26" s="322"/>
      <c r="J26" s="324">
        <v>0.05</v>
      </c>
      <c r="K26" s="320"/>
    </row>
    <row r="27" spans="1:11" x14ac:dyDescent="0.2">
      <c r="A27" s="317"/>
      <c r="B27" s="252"/>
      <c r="C27" s="319"/>
      <c r="D27" s="319"/>
      <c r="E27" s="319"/>
      <c r="F27" s="319"/>
      <c r="G27" s="319"/>
      <c r="H27" s="319"/>
      <c r="I27" s="319"/>
      <c r="J27" s="319"/>
      <c r="K27" s="320"/>
    </row>
    <row r="28" spans="1:11" x14ac:dyDescent="0.2">
      <c r="A28" s="317"/>
      <c r="B28" s="333" t="s">
        <v>658</v>
      </c>
      <c r="C28" s="319"/>
      <c r="D28" s="254" t="s">
        <v>615</v>
      </c>
      <c r="E28" s="268"/>
      <c r="F28" s="254" t="s">
        <v>616</v>
      </c>
      <c r="G28" s="268"/>
      <c r="H28" s="254" t="s">
        <v>617</v>
      </c>
      <c r="I28" s="268"/>
      <c r="J28" s="254" t="s">
        <v>280</v>
      </c>
      <c r="K28" s="320"/>
    </row>
    <row r="29" spans="1:11" x14ac:dyDescent="0.2">
      <c r="A29" s="317"/>
      <c r="B29" s="252" t="s">
        <v>618</v>
      </c>
      <c r="C29" s="319"/>
      <c r="D29" s="325">
        <v>25000000000</v>
      </c>
      <c r="E29" s="252"/>
      <c r="F29" s="325">
        <v>25000000000</v>
      </c>
      <c r="G29" s="252"/>
      <c r="H29" s="325">
        <v>25000000000</v>
      </c>
      <c r="I29" s="252"/>
      <c r="J29" s="325">
        <v>25000000000</v>
      </c>
      <c r="K29" s="320"/>
    </row>
    <row r="30" spans="1:11" x14ac:dyDescent="0.2">
      <c r="A30" s="317"/>
      <c r="B30" s="252" t="s">
        <v>619</v>
      </c>
      <c r="C30" s="319"/>
      <c r="D30" s="253">
        <v>0</v>
      </c>
      <c r="E30" s="252"/>
      <c r="F30" s="253">
        <v>0</v>
      </c>
      <c r="G30" s="252"/>
      <c r="H30" s="326">
        <f>-(H20/(1+(H24*90/360)))*H22</f>
        <v>-23645320197.044338</v>
      </c>
      <c r="I30" s="252"/>
      <c r="J30" s="326">
        <f>-J23*(J20*J22)</f>
        <v>-696000000</v>
      </c>
      <c r="K30" s="320"/>
    </row>
    <row r="31" spans="1:11" x14ac:dyDescent="0.2">
      <c r="A31" s="317"/>
      <c r="B31" s="252" t="s">
        <v>620</v>
      </c>
      <c r="C31" s="319"/>
      <c r="D31" s="325">
        <f>D29+D30</f>
        <v>25000000000</v>
      </c>
      <c r="E31" s="252"/>
      <c r="F31" s="325">
        <f>F29+F30</f>
        <v>25000000000</v>
      </c>
      <c r="G31" s="252"/>
      <c r="H31" s="325">
        <f>H29+H30</f>
        <v>1354679802.9556618</v>
      </c>
      <c r="I31" s="252"/>
      <c r="J31" s="325">
        <f>J29+J30</f>
        <v>24304000000</v>
      </c>
      <c r="K31" s="320"/>
    </row>
    <row r="32" spans="1:11" x14ac:dyDescent="0.2">
      <c r="A32" s="317"/>
      <c r="B32" s="252"/>
      <c r="C32" s="319"/>
      <c r="D32" s="325"/>
      <c r="E32" s="252"/>
      <c r="F32" s="325"/>
      <c r="G32" s="252"/>
      <c r="H32" s="325"/>
      <c r="I32" s="252"/>
      <c r="J32" s="325"/>
      <c r="K32" s="320"/>
    </row>
    <row r="33" spans="1:11" x14ac:dyDescent="0.2">
      <c r="A33" s="317"/>
      <c r="B33" s="252" t="s">
        <v>621</v>
      </c>
      <c r="C33" s="319"/>
      <c r="D33" s="326">
        <f>D31*D26*(90/360)</f>
        <v>312500000</v>
      </c>
      <c r="E33" s="252"/>
      <c r="F33" s="326">
        <f>F31*F26*(90/360)</f>
        <v>312500000</v>
      </c>
      <c r="G33" s="252"/>
      <c r="H33" s="326">
        <f>H31*H26*(90/360)</f>
        <v>16933497.536945771</v>
      </c>
      <c r="I33" s="252"/>
      <c r="J33" s="326">
        <f>J31*J26*(90/360)</f>
        <v>303800000</v>
      </c>
      <c r="K33" s="320"/>
    </row>
    <row r="34" spans="1:11" x14ac:dyDescent="0.2">
      <c r="A34" s="317"/>
      <c r="B34" s="252" t="s">
        <v>622</v>
      </c>
      <c r="C34" s="319"/>
      <c r="D34" s="325">
        <f>D31+D33</f>
        <v>25312500000</v>
      </c>
      <c r="E34" s="252"/>
      <c r="F34" s="325">
        <f>F31+F33</f>
        <v>25312500000</v>
      </c>
      <c r="G34" s="252"/>
      <c r="H34" s="325">
        <f>H31+H33</f>
        <v>1371613300.4926076</v>
      </c>
      <c r="I34" s="252"/>
      <c r="J34" s="325">
        <f>J31+J33</f>
        <v>24607800000</v>
      </c>
      <c r="K34" s="320"/>
    </row>
    <row r="35" spans="1:11" x14ac:dyDescent="0.2">
      <c r="A35" s="317"/>
      <c r="B35" s="252"/>
      <c r="C35" s="319"/>
      <c r="D35" s="325"/>
      <c r="E35" s="252"/>
      <c r="F35" s="325"/>
      <c r="G35" s="252"/>
      <c r="H35" s="325"/>
      <c r="I35" s="252"/>
      <c r="J35" s="325"/>
      <c r="K35" s="320"/>
    </row>
    <row r="36" spans="1:11" x14ac:dyDescent="0.2">
      <c r="A36" s="317"/>
      <c r="B36" s="252" t="s">
        <v>623</v>
      </c>
      <c r="C36" s="319"/>
      <c r="D36" s="326">
        <f>-D20*D21</f>
        <v>-23760000000</v>
      </c>
      <c r="E36" s="252"/>
      <c r="F36" s="326">
        <f>-F20*F21</f>
        <v>-23820000000</v>
      </c>
      <c r="G36" s="252"/>
      <c r="H36" s="253"/>
      <c r="I36" s="252"/>
      <c r="J36" s="326">
        <f>-J20*J21</f>
        <v>-23700000000</v>
      </c>
      <c r="K36" s="320"/>
    </row>
    <row r="37" spans="1:11" x14ac:dyDescent="0.2">
      <c r="A37" s="317"/>
      <c r="B37" s="252" t="s">
        <v>624</v>
      </c>
      <c r="C37" s="319"/>
      <c r="D37" s="327">
        <f>D34+D36</f>
        <v>1552500000</v>
      </c>
      <c r="E37" s="328"/>
      <c r="F37" s="327">
        <f>F34+F36</f>
        <v>1492500000</v>
      </c>
      <c r="G37" s="328"/>
      <c r="H37" s="327">
        <f>H34+H36</f>
        <v>1371613300.4926076</v>
      </c>
      <c r="I37" s="328"/>
      <c r="J37" s="327">
        <f>J34+J36</f>
        <v>907800000</v>
      </c>
      <c r="K37" s="320"/>
    </row>
    <row r="38" spans="1:11" x14ac:dyDescent="0.2">
      <c r="A38" s="317"/>
      <c r="B38" s="319"/>
      <c r="C38" s="319"/>
      <c r="D38" s="252"/>
      <c r="E38" s="252"/>
      <c r="F38" s="252"/>
      <c r="G38" s="252"/>
      <c r="H38" s="252"/>
      <c r="I38" s="252"/>
      <c r="J38" s="268" t="s">
        <v>625</v>
      </c>
      <c r="K38" s="320"/>
    </row>
    <row r="39" spans="1:11" x14ac:dyDescent="0.2">
      <c r="A39" s="317"/>
      <c r="B39" s="319"/>
      <c r="C39" s="319"/>
      <c r="D39" s="252"/>
      <c r="E39" s="252"/>
      <c r="F39" s="252"/>
      <c r="G39" s="252"/>
      <c r="H39" s="252"/>
      <c r="I39" s="252"/>
      <c r="J39" s="252"/>
      <c r="K39" s="320"/>
    </row>
    <row r="40" spans="1:11" x14ac:dyDescent="0.2">
      <c r="A40" s="317"/>
      <c r="B40" s="319"/>
      <c r="C40" s="319"/>
      <c r="D40" s="252"/>
      <c r="E40" s="252"/>
      <c r="F40" s="252"/>
      <c r="G40" s="252"/>
      <c r="H40" s="252"/>
      <c r="I40" s="268" t="s">
        <v>626</v>
      </c>
      <c r="J40" s="325">
        <f>-J30*(1+(J26*90/360))</f>
        <v>704700000</v>
      </c>
      <c r="K40" s="320"/>
    </row>
    <row r="41" spans="1:11" x14ac:dyDescent="0.2">
      <c r="A41" s="317"/>
      <c r="B41" s="252" t="s">
        <v>627</v>
      </c>
      <c r="C41" s="319"/>
      <c r="D41" s="327">
        <v>23760000000</v>
      </c>
      <c r="E41" s="328"/>
      <c r="F41" s="327">
        <v>23820000000</v>
      </c>
      <c r="G41" s="328"/>
      <c r="H41" s="327">
        <f>-H30*(1+(H26*90/360))</f>
        <v>23940886699.507393</v>
      </c>
      <c r="I41" s="328"/>
      <c r="J41" s="327">
        <f>-J36+J40</f>
        <v>24404700000</v>
      </c>
      <c r="K41" s="320"/>
    </row>
    <row r="42" spans="1:11" x14ac:dyDescent="0.2">
      <c r="A42" s="317"/>
      <c r="B42" s="319"/>
      <c r="C42" s="319"/>
      <c r="D42" s="329" t="s">
        <v>628</v>
      </c>
      <c r="E42" s="319"/>
      <c r="F42" s="329" t="s">
        <v>289</v>
      </c>
      <c r="G42" s="319"/>
      <c r="H42" s="329" t="s">
        <v>289</v>
      </c>
      <c r="I42" s="319"/>
      <c r="J42" s="329" t="s">
        <v>629</v>
      </c>
      <c r="K42" s="320"/>
    </row>
    <row r="43" spans="1:11" x14ac:dyDescent="0.2">
      <c r="A43" s="317"/>
      <c r="B43" s="319"/>
      <c r="C43" s="319"/>
      <c r="D43" s="329"/>
      <c r="E43" s="319"/>
      <c r="F43" s="329"/>
      <c r="G43" s="319"/>
      <c r="H43" s="329"/>
      <c r="I43" s="319"/>
      <c r="J43" s="329" t="s">
        <v>630</v>
      </c>
      <c r="K43" s="320"/>
    </row>
    <row r="44" spans="1:11" ht="13.5" thickBot="1" x14ac:dyDescent="0.25">
      <c r="A44" s="330"/>
      <c r="B44" s="331"/>
      <c r="C44" s="331"/>
      <c r="D44" s="331"/>
      <c r="E44" s="331"/>
      <c r="F44" s="331"/>
      <c r="G44" s="331"/>
      <c r="H44" s="331"/>
      <c r="I44" s="331"/>
      <c r="J44" s="331"/>
      <c r="K44" s="332"/>
    </row>
  </sheetData>
  <mergeCells count="6">
    <mergeCell ref="B16:J17"/>
    <mergeCell ref="B2:H2"/>
    <mergeCell ref="I2:J2"/>
    <mergeCell ref="B4:J6"/>
    <mergeCell ref="B8:J10"/>
    <mergeCell ref="B12:J14"/>
  </mergeCells>
  <printOptions horizontalCentered="1"/>
  <pageMargins left="0.2" right="0.2" top="0.75" bottom="0.75" header="0.3" footer="0.3"/>
  <pageSetup scale="8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workbookViewId="0"/>
  </sheetViews>
  <sheetFormatPr defaultRowHeight="12.75" x14ac:dyDescent="0.2"/>
  <cols>
    <col min="1" max="1" width="3.1640625" style="245" customWidth="1"/>
    <col min="2" max="2" width="3.1640625" style="276" customWidth="1"/>
    <col min="3" max="3" width="19.5" style="245" customWidth="1"/>
    <col min="4" max="4" width="3.1640625" style="245" customWidth="1"/>
    <col min="5" max="6" width="7.83203125" style="245" customWidth="1"/>
    <col min="7" max="7" width="17.1640625" style="245" customWidth="1"/>
    <col min="8" max="9" width="7.83203125" style="245" customWidth="1"/>
    <col min="10" max="10" width="3.1640625" style="245" customWidth="1"/>
    <col min="11" max="11" width="19.5" style="245" customWidth="1"/>
    <col min="12" max="13" width="3.1640625" style="245" customWidth="1"/>
    <col min="14" max="256" width="9.33203125" style="245"/>
    <col min="257" max="258" width="3.1640625" style="245" customWidth="1"/>
    <col min="259" max="259" width="19.5" style="245" customWidth="1"/>
    <col min="260" max="260" width="3.1640625" style="245" customWidth="1"/>
    <col min="261" max="262" width="7.83203125" style="245" customWidth="1"/>
    <col min="263" max="263" width="17.1640625" style="245" customWidth="1"/>
    <col min="264" max="265" width="7.83203125" style="245" customWidth="1"/>
    <col min="266" max="266" width="3.1640625" style="245" customWidth="1"/>
    <col min="267" max="267" width="19.5" style="245" customWidth="1"/>
    <col min="268" max="269" width="3.1640625" style="245" customWidth="1"/>
    <col min="270" max="512" width="9.33203125" style="245"/>
    <col min="513" max="514" width="3.1640625" style="245" customWidth="1"/>
    <col min="515" max="515" width="19.5" style="245" customWidth="1"/>
    <col min="516" max="516" width="3.1640625" style="245" customWidth="1"/>
    <col min="517" max="518" width="7.83203125" style="245" customWidth="1"/>
    <col min="519" max="519" width="17.1640625" style="245" customWidth="1"/>
    <col min="520" max="521" width="7.83203125" style="245" customWidth="1"/>
    <col min="522" max="522" width="3.1640625" style="245" customWidth="1"/>
    <col min="523" max="523" width="19.5" style="245" customWidth="1"/>
    <col min="524" max="525" width="3.1640625" style="245" customWidth="1"/>
    <col min="526" max="768" width="9.33203125" style="245"/>
    <col min="769" max="770" width="3.1640625" style="245" customWidth="1"/>
    <col min="771" max="771" width="19.5" style="245" customWidth="1"/>
    <col min="772" max="772" width="3.1640625" style="245" customWidth="1"/>
    <col min="773" max="774" width="7.83203125" style="245" customWidth="1"/>
    <col min="775" max="775" width="17.1640625" style="245" customWidth="1"/>
    <col min="776" max="777" width="7.83203125" style="245" customWidth="1"/>
    <col min="778" max="778" width="3.1640625" style="245" customWidth="1"/>
    <col min="779" max="779" width="19.5" style="245" customWidth="1"/>
    <col min="780" max="781" width="3.1640625" style="245" customWidth="1"/>
    <col min="782" max="1024" width="9.33203125" style="245"/>
    <col min="1025" max="1026" width="3.1640625" style="245" customWidth="1"/>
    <col min="1027" max="1027" width="19.5" style="245" customWidth="1"/>
    <col min="1028" max="1028" width="3.1640625" style="245" customWidth="1"/>
    <col min="1029" max="1030" width="7.83203125" style="245" customWidth="1"/>
    <col min="1031" max="1031" width="17.1640625" style="245" customWidth="1"/>
    <col min="1032" max="1033" width="7.83203125" style="245" customWidth="1"/>
    <col min="1034" max="1034" width="3.1640625" style="245" customWidth="1"/>
    <col min="1035" max="1035" width="19.5" style="245" customWidth="1"/>
    <col min="1036" max="1037" width="3.1640625" style="245" customWidth="1"/>
    <col min="1038" max="1280" width="9.33203125" style="245"/>
    <col min="1281" max="1282" width="3.1640625" style="245" customWidth="1"/>
    <col min="1283" max="1283" width="19.5" style="245" customWidth="1"/>
    <col min="1284" max="1284" width="3.1640625" style="245" customWidth="1"/>
    <col min="1285" max="1286" width="7.83203125" style="245" customWidth="1"/>
    <col min="1287" max="1287" width="17.1640625" style="245" customWidth="1"/>
    <col min="1288" max="1289" width="7.83203125" style="245" customWidth="1"/>
    <col min="1290" max="1290" width="3.1640625" style="245" customWidth="1"/>
    <col min="1291" max="1291" width="19.5" style="245" customWidth="1"/>
    <col min="1292" max="1293" width="3.1640625" style="245" customWidth="1"/>
    <col min="1294" max="1536" width="9.33203125" style="245"/>
    <col min="1537" max="1538" width="3.1640625" style="245" customWidth="1"/>
    <col min="1539" max="1539" width="19.5" style="245" customWidth="1"/>
    <col min="1540" max="1540" width="3.1640625" style="245" customWidth="1"/>
    <col min="1541" max="1542" width="7.83203125" style="245" customWidth="1"/>
    <col min="1543" max="1543" width="17.1640625" style="245" customWidth="1"/>
    <col min="1544" max="1545" width="7.83203125" style="245" customWidth="1"/>
    <col min="1546" max="1546" width="3.1640625" style="245" customWidth="1"/>
    <col min="1547" max="1547" width="19.5" style="245" customWidth="1"/>
    <col min="1548" max="1549" width="3.1640625" style="245" customWidth="1"/>
    <col min="1550" max="1792" width="9.33203125" style="245"/>
    <col min="1793" max="1794" width="3.1640625" style="245" customWidth="1"/>
    <col min="1795" max="1795" width="19.5" style="245" customWidth="1"/>
    <col min="1796" max="1796" width="3.1640625" style="245" customWidth="1"/>
    <col min="1797" max="1798" width="7.83203125" style="245" customWidth="1"/>
    <col min="1799" max="1799" width="17.1640625" style="245" customWidth="1"/>
    <col min="1800" max="1801" width="7.83203125" style="245" customWidth="1"/>
    <col min="1802" max="1802" width="3.1640625" style="245" customWidth="1"/>
    <col min="1803" max="1803" width="19.5" style="245" customWidth="1"/>
    <col min="1804" max="1805" width="3.1640625" style="245" customWidth="1"/>
    <col min="1806" max="2048" width="9.33203125" style="245"/>
    <col min="2049" max="2050" width="3.1640625" style="245" customWidth="1"/>
    <col min="2051" max="2051" width="19.5" style="245" customWidth="1"/>
    <col min="2052" max="2052" width="3.1640625" style="245" customWidth="1"/>
    <col min="2053" max="2054" width="7.83203125" style="245" customWidth="1"/>
    <col min="2055" max="2055" width="17.1640625" style="245" customWidth="1"/>
    <col min="2056" max="2057" width="7.83203125" style="245" customWidth="1"/>
    <col min="2058" max="2058" width="3.1640625" style="245" customWidth="1"/>
    <col min="2059" max="2059" width="19.5" style="245" customWidth="1"/>
    <col min="2060" max="2061" width="3.1640625" style="245" customWidth="1"/>
    <col min="2062" max="2304" width="9.33203125" style="245"/>
    <col min="2305" max="2306" width="3.1640625" style="245" customWidth="1"/>
    <col min="2307" max="2307" width="19.5" style="245" customWidth="1"/>
    <col min="2308" max="2308" width="3.1640625" style="245" customWidth="1"/>
    <col min="2309" max="2310" width="7.83203125" style="245" customWidth="1"/>
    <col min="2311" max="2311" width="17.1640625" style="245" customWidth="1"/>
    <col min="2312" max="2313" width="7.83203125" style="245" customWidth="1"/>
    <col min="2314" max="2314" width="3.1640625" style="245" customWidth="1"/>
    <col min="2315" max="2315" width="19.5" style="245" customWidth="1"/>
    <col min="2316" max="2317" width="3.1640625" style="245" customWidth="1"/>
    <col min="2318" max="2560" width="9.33203125" style="245"/>
    <col min="2561" max="2562" width="3.1640625" style="245" customWidth="1"/>
    <col min="2563" max="2563" width="19.5" style="245" customWidth="1"/>
    <col min="2564" max="2564" width="3.1640625" style="245" customWidth="1"/>
    <col min="2565" max="2566" width="7.83203125" style="245" customWidth="1"/>
    <col min="2567" max="2567" width="17.1640625" style="245" customWidth="1"/>
    <col min="2568" max="2569" width="7.83203125" style="245" customWidth="1"/>
    <col min="2570" max="2570" width="3.1640625" style="245" customWidth="1"/>
    <col min="2571" max="2571" width="19.5" style="245" customWidth="1"/>
    <col min="2572" max="2573" width="3.1640625" style="245" customWidth="1"/>
    <col min="2574" max="2816" width="9.33203125" style="245"/>
    <col min="2817" max="2818" width="3.1640625" style="245" customWidth="1"/>
    <col min="2819" max="2819" width="19.5" style="245" customWidth="1"/>
    <col min="2820" max="2820" width="3.1640625" style="245" customWidth="1"/>
    <col min="2821" max="2822" width="7.83203125" style="245" customWidth="1"/>
    <col min="2823" max="2823" width="17.1640625" style="245" customWidth="1"/>
    <col min="2824" max="2825" width="7.83203125" style="245" customWidth="1"/>
    <col min="2826" max="2826" width="3.1640625" style="245" customWidth="1"/>
    <col min="2827" max="2827" width="19.5" style="245" customWidth="1"/>
    <col min="2828" max="2829" width="3.1640625" style="245" customWidth="1"/>
    <col min="2830" max="3072" width="9.33203125" style="245"/>
    <col min="3073" max="3074" width="3.1640625" style="245" customWidth="1"/>
    <col min="3075" max="3075" width="19.5" style="245" customWidth="1"/>
    <col min="3076" max="3076" width="3.1640625" style="245" customWidth="1"/>
    <col min="3077" max="3078" width="7.83203125" style="245" customWidth="1"/>
    <col min="3079" max="3079" width="17.1640625" style="245" customWidth="1"/>
    <col min="3080" max="3081" width="7.83203125" style="245" customWidth="1"/>
    <col min="3082" max="3082" width="3.1640625" style="245" customWidth="1"/>
    <col min="3083" max="3083" width="19.5" style="245" customWidth="1"/>
    <col min="3084" max="3085" width="3.1640625" style="245" customWidth="1"/>
    <col min="3086" max="3328" width="9.33203125" style="245"/>
    <col min="3329" max="3330" width="3.1640625" style="245" customWidth="1"/>
    <col min="3331" max="3331" width="19.5" style="245" customWidth="1"/>
    <col min="3332" max="3332" width="3.1640625" style="245" customWidth="1"/>
    <col min="3333" max="3334" width="7.83203125" style="245" customWidth="1"/>
    <col min="3335" max="3335" width="17.1640625" style="245" customWidth="1"/>
    <col min="3336" max="3337" width="7.83203125" style="245" customWidth="1"/>
    <col min="3338" max="3338" width="3.1640625" style="245" customWidth="1"/>
    <col min="3339" max="3339" width="19.5" style="245" customWidth="1"/>
    <col min="3340" max="3341" width="3.1640625" style="245" customWidth="1"/>
    <col min="3342" max="3584" width="9.33203125" style="245"/>
    <col min="3585" max="3586" width="3.1640625" style="245" customWidth="1"/>
    <col min="3587" max="3587" width="19.5" style="245" customWidth="1"/>
    <col min="3588" max="3588" width="3.1640625" style="245" customWidth="1"/>
    <col min="3589" max="3590" width="7.83203125" style="245" customWidth="1"/>
    <col min="3591" max="3591" width="17.1640625" style="245" customWidth="1"/>
    <col min="3592" max="3593" width="7.83203125" style="245" customWidth="1"/>
    <col min="3594" max="3594" width="3.1640625" style="245" customWidth="1"/>
    <col min="3595" max="3595" width="19.5" style="245" customWidth="1"/>
    <col min="3596" max="3597" width="3.1640625" style="245" customWidth="1"/>
    <col min="3598" max="3840" width="9.33203125" style="245"/>
    <col min="3841" max="3842" width="3.1640625" style="245" customWidth="1"/>
    <col min="3843" max="3843" width="19.5" style="245" customWidth="1"/>
    <col min="3844" max="3844" width="3.1640625" style="245" customWidth="1"/>
    <col min="3845" max="3846" width="7.83203125" style="245" customWidth="1"/>
    <col min="3847" max="3847" width="17.1640625" style="245" customWidth="1"/>
    <col min="3848" max="3849" width="7.83203125" style="245" customWidth="1"/>
    <col min="3850" max="3850" width="3.1640625" style="245" customWidth="1"/>
    <col min="3851" max="3851" width="19.5" style="245" customWidth="1"/>
    <col min="3852" max="3853" width="3.1640625" style="245" customWidth="1"/>
    <col min="3854" max="4096" width="9.33203125" style="245"/>
    <col min="4097" max="4098" width="3.1640625" style="245" customWidth="1"/>
    <col min="4099" max="4099" width="19.5" style="245" customWidth="1"/>
    <col min="4100" max="4100" width="3.1640625" style="245" customWidth="1"/>
    <col min="4101" max="4102" width="7.83203125" style="245" customWidth="1"/>
    <col min="4103" max="4103" width="17.1640625" style="245" customWidth="1"/>
    <col min="4104" max="4105" width="7.83203125" style="245" customWidth="1"/>
    <col min="4106" max="4106" width="3.1640625" style="245" customWidth="1"/>
    <col min="4107" max="4107" width="19.5" style="245" customWidth="1"/>
    <col min="4108" max="4109" width="3.1640625" style="245" customWidth="1"/>
    <col min="4110" max="4352" width="9.33203125" style="245"/>
    <col min="4353" max="4354" width="3.1640625" style="245" customWidth="1"/>
    <col min="4355" max="4355" width="19.5" style="245" customWidth="1"/>
    <col min="4356" max="4356" width="3.1640625" style="245" customWidth="1"/>
    <col min="4357" max="4358" width="7.83203125" style="245" customWidth="1"/>
    <col min="4359" max="4359" width="17.1640625" style="245" customWidth="1"/>
    <col min="4360" max="4361" width="7.83203125" style="245" customWidth="1"/>
    <col min="4362" max="4362" width="3.1640625" style="245" customWidth="1"/>
    <col min="4363" max="4363" width="19.5" style="245" customWidth="1"/>
    <col min="4364" max="4365" width="3.1640625" style="245" customWidth="1"/>
    <col min="4366" max="4608" width="9.33203125" style="245"/>
    <col min="4609" max="4610" width="3.1640625" style="245" customWidth="1"/>
    <col min="4611" max="4611" width="19.5" style="245" customWidth="1"/>
    <col min="4612" max="4612" width="3.1640625" style="245" customWidth="1"/>
    <col min="4613" max="4614" width="7.83203125" style="245" customWidth="1"/>
    <col min="4615" max="4615" width="17.1640625" style="245" customWidth="1"/>
    <col min="4616" max="4617" width="7.83203125" style="245" customWidth="1"/>
    <col min="4618" max="4618" width="3.1640625" style="245" customWidth="1"/>
    <col min="4619" max="4619" width="19.5" style="245" customWidth="1"/>
    <col min="4620" max="4621" width="3.1640625" style="245" customWidth="1"/>
    <col min="4622" max="4864" width="9.33203125" style="245"/>
    <col min="4865" max="4866" width="3.1640625" style="245" customWidth="1"/>
    <col min="4867" max="4867" width="19.5" style="245" customWidth="1"/>
    <col min="4868" max="4868" width="3.1640625" style="245" customWidth="1"/>
    <col min="4869" max="4870" width="7.83203125" style="245" customWidth="1"/>
    <col min="4871" max="4871" width="17.1640625" style="245" customWidth="1"/>
    <col min="4872" max="4873" width="7.83203125" style="245" customWidth="1"/>
    <col min="4874" max="4874" width="3.1640625" style="245" customWidth="1"/>
    <col min="4875" max="4875" width="19.5" style="245" customWidth="1"/>
    <col min="4876" max="4877" width="3.1640625" style="245" customWidth="1"/>
    <col min="4878" max="5120" width="9.33203125" style="245"/>
    <col min="5121" max="5122" width="3.1640625" style="245" customWidth="1"/>
    <col min="5123" max="5123" width="19.5" style="245" customWidth="1"/>
    <col min="5124" max="5124" width="3.1640625" style="245" customWidth="1"/>
    <col min="5125" max="5126" width="7.83203125" style="245" customWidth="1"/>
    <col min="5127" max="5127" width="17.1640625" style="245" customWidth="1"/>
    <col min="5128" max="5129" width="7.83203125" style="245" customWidth="1"/>
    <col min="5130" max="5130" width="3.1640625" style="245" customWidth="1"/>
    <col min="5131" max="5131" width="19.5" style="245" customWidth="1"/>
    <col min="5132" max="5133" width="3.1640625" style="245" customWidth="1"/>
    <col min="5134" max="5376" width="9.33203125" style="245"/>
    <col min="5377" max="5378" width="3.1640625" style="245" customWidth="1"/>
    <col min="5379" max="5379" width="19.5" style="245" customWidth="1"/>
    <col min="5380" max="5380" width="3.1640625" style="245" customWidth="1"/>
    <col min="5381" max="5382" width="7.83203125" style="245" customWidth="1"/>
    <col min="5383" max="5383" width="17.1640625" style="245" customWidth="1"/>
    <col min="5384" max="5385" width="7.83203125" style="245" customWidth="1"/>
    <col min="5386" max="5386" width="3.1640625" style="245" customWidth="1"/>
    <col min="5387" max="5387" width="19.5" style="245" customWidth="1"/>
    <col min="5388" max="5389" width="3.1640625" style="245" customWidth="1"/>
    <col min="5390" max="5632" width="9.33203125" style="245"/>
    <col min="5633" max="5634" width="3.1640625" style="245" customWidth="1"/>
    <col min="5635" max="5635" width="19.5" style="245" customWidth="1"/>
    <col min="5636" max="5636" width="3.1640625" style="245" customWidth="1"/>
    <col min="5637" max="5638" width="7.83203125" style="245" customWidth="1"/>
    <col min="5639" max="5639" width="17.1640625" style="245" customWidth="1"/>
    <col min="5640" max="5641" width="7.83203125" style="245" customWidth="1"/>
    <col min="5642" max="5642" width="3.1640625" style="245" customWidth="1"/>
    <col min="5643" max="5643" width="19.5" style="245" customWidth="1"/>
    <col min="5644" max="5645" width="3.1640625" style="245" customWidth="1"/>
    <col min="5646" max="5888" width="9.33203125" style="245"/>
    <col min="5889" max="5890" width="3.1640625" style="245" customWidth="1"/>
    <col min="5891" max="5891" width="19.5" style="245" customWidth="1"/>
    <col min="5892" max="5892" width="3.1640625" style="245" customWidth="1"/>
    <col min="5893" max="5894" width="7.83203125" style="245" customWidth="1"/>
    <col min="5895" max="5895" width="17.1640625" style="245" customWidth="1"/>
    <col min="5896" max="5897" width="7.83203125" style="245" customWidth="1"/>
    <col min="5898" max="5898" width="3.1640625" style="245" customWidth="1"/>
    <col min="5899" max="5899" width="19.5" style="245" customWidth="1"/>
    <col min="5900" max="5901" width="3.1640625" style="245" customWidth="1"/>
    <col min="5902" max="6144" width="9.33203125" style="245"/>
    <col min="6145" max="6146" width="3.1640625" style="245" customWidth="1"/>
    <col min="6147" max="6147" width="19.5" style="245" customWidth="1"/>
    <col min="6148" max="6148" width="3.1640625" style="245" customWidth="1"/>
    <col min="6149" max="6150" width="7.83203125" style="245" customWidth="1"/>
    <col min="6151" max="6151" width="17.1640625" style="245" customWidth="1"/>
    <col min="6152" max="6153" width="7.83203125" style="245" customWidth="1"/>
    <col min="6154" max="6154" width="3.1640625" style="245" customWidth="1"/>
    <col min="6155" max="6155" width="19.5" style="245" customWidth="1"/>
    <col min="6156" max="6157" width="3.1640625" style="245" customWidth="1"/>
    <col min="6158" max="6400" width="9.33203125" style="245"/>
    <col min="6401" max="6402" width="3.1640625" style="245" customWidth="1"/>
    <col min="6403" max="6403" width="19.5" style="245" customWidth="1"/>
    <col min="6404" max="6404" width="3.1640625" style="245" customWidth="1"/>
    <col min="6405" max="6406" width="7.83203125" style="245" customWidth="1"/>
    <col min="6407" max="6407" width="17.1640625" style="245" customWidth="1"/>
    <col min="6408" max="6409" width="7.83203125" style="245" customWidth="1"/>
    <col min="6410" max="6410" width="3.1640625" style="245" customWidth="1"/>
    <col min="6411" max="6411" width="19.5" style="245" customWidth="1"/>
    <col min="6412" max="6413" width="3.1640625" style="245" customWidth="1"/>
    <col min="6414" max="6656" width="9.33203125" style="245"/>
    <col min="6657" max="6658" width="3.1640625" style="245" customWidth="1"/>
    <col min="6659" max="6659" width="19.5" style="245" customWidth="1"/>
    <col min="6660" max="6660" width="3.1640625" style="245" customWidth="1"/>
    <col min="6661" max="6662" width="7.83203125" style="245" customWidth="1"/>
    <col min="6663" max="6663" width="17.1640625" style="245" customWidth="1"/>
    <col min="6664" max="6665" width="7.83203125" style="245" customWidth="1"/>
    <col min="6666" max="6666" width="3.1640625" style="245" customWidth="1"/>
    <col min="6667" max="6667" width="19.5" style="245" customWidth="1"/>
    <col min="6668" max="6669" width="3.1640625" style="245" customWidth="1"/>
    <col min="6670" max="6912" width="9.33203125" style="245"/>
    <col min="6913" max="6914" width="3.1640625" style="245" customWidth="1"/>
    <col min="6915" max="6915" width="19.5" style="245" customWidth="1"/>
    <col min="6916" max="6916" width="3.1640625" style="245" customWidth="1"/>
    <col min="6917" max="6918" width="7.83203125" style="245" customWidth="1"/>
    <col min="6919" max="6919" width="17.1640625" style="245" customWidth="1"/>
    <col min="6920" max="6921" width="7.83203125" style="245" customWidth="1"/>
    <col min="6922" max="6922" width="3.1640625" style="245" customWidth="1"/>
    <col min="6923" max="6923" width="19.5" style="245" customWidth="1"/>
    <col min="6924" max="6925" width="3.1640625" style="245" customWidth="1"/>
    <col min="6926" max="7168" width="9.33203125" style="245"/>
    <col min="7169" max="7170" width="3.1640625" style="245" customWidth="1"/>
    <col min="7171" max="7171" width="19.5" style="245" customWidth="1"/>
    <col min="7172" max="7172" width="3.1640625" style="245" customWidth="1"/>
    <col min="7173" max="7174" width="7.83203125" style="245" customWidth="1"/>
    <col min="7175" max="7175" width="17.1640625" style="245" customWidth="1"/>
    <col min="7176" max="7177" width="7.83203125" style="245" customWidth="1"/>
    <col min="7178" max="7178" width="3.1640625" style="245" customWidth="1"/>
    <col min="7179" max="7179" width="19.5" style="245" customWidth="1"/>
    <col min="7180" max="7181" width="3.1640625" style="245" customWidth="1"/>
    <col min="7182" max="7424" width="9.33203125" style="245"/>
    <col min="7425" max="7426" width="3.1640625" style="245" customWidth="1"/>
    <col min="7427" max="7427" width="19.5" style="245" customWidth="1"/>
    <col min="7428" max="7428" width="3.1640625" style="245" customWidth="1"/>
    <col min="7429" max="7430" width="7.83203125" style="245" customWidth="1"/>
    <col min="7431" max="7431" width="17.1640625" style="245" customWidth="1"/>
    <col min="7432" max="7433" width="7.83203125" style="245" customWidth="1"/>
    <col min="7434" max="7434" width="3.1640625" style="245" customWidth="1"/>
    <col min="7435" max="7435" width="19.5" style="245" customWidth="1"/>
    <col min="7436" max="7437" width="3.1640625" style="245" customWidth="1"/>
    <col min="7438" max="7680" width="9.33203125" style="245"/>
    <col min="7681" max="7682" width="3.1640625" style="245" customWidth="1"/>
    <col min="7683" max="7683" width="19.5" style="245" customWidth="1"/>
    <col min="7684" max="7684" width="3.1640625" style="245" customWidth="1"/>
    <col min="7685" max="7686" width="7.83203125" style="245" customWidth="1"/>
    <col min="7687" max="7687" width="17.1640625" style="245" customWidth="1"/>
    <col min="7688" max="7689" width="7.83203125" style="245" customWidth="1"/>
    <col min="7690" max="7690" width="3.1640625" style="245" customWidth="1"/>
    <col min="7691" max="7691" width="19.5" style="245" customWidth="1"/>
    <col min="7692" max="7693" width="3.1640625" style="245" customWidth="1"/>
    <col min="7694" max="7936" width="9.33203125" style="245"/>
    <col min="7937" max="7938" width="3.1640625" style="245" customWidth="1"/>
    <col min="7939" max="7939" width="19.5" style="245" customWidth="1"/>
    <col min="7940" max="7940" width="3.1640625" style="245" customWidth="1"/>
    <col min="7941" max="7942" width="7.83203125" style="245" customWidth="1"/>
    <col min="7943" max="7943" width="17.1640625" style="245" customWidth="1"/>
    <col min="7944" max="7945" width="7.83203125" style="245" customWidth="1"/>
    <col min="7946" max="7946" width="3.1640625" style="245" customWidth="1"/>
    <col min="7947" max="7947" width="19.5" style="245" customWidth="1"/>
    <col min="7948" max="7949" width="3.1640625" style="245" customWidth="1"/>
    <col min="7950" max="8192" width="9.33203125" style="245"/>
    <col min="8193" max="8194" width="3.1640625" style="245" customWidth="1"/>
    <col min="8195" max="8195" width="19.5" style="245" customWidth="1"/>
    <col min="8196" max="8196" width="3.1640625" style="245" customWidth="1"/>
    <col min="8197" max="8198" width="7.83203125" style="245" customWidth="1"/>
    <col min="8199" max="8199" width="17.1640625" style="245" customWidth="1"/>
    <col min="8200" max="8201" width="7.83203125" style="245" customWidth="1"/>
    <col min="8202" max="8202" width="3.1640625" style="245" customWidth="1"/>
    <col min="8203" max="8203" width="19.5" style="245" customWidth="1"/>
    <col min="8204" max="8205" width="3.1640625" style="245" customWidth="1"/>
    <col min="8206" max="8448" width="9.33203125" style="245"/>
    <col min="8449" max="8450" width="3.1640625" style="245" customWidth="1"/>
    <col min="8451" max="8451" width="19.5" style="245" customWidth="1"/>
    <col min="8452" max="8452" width="3.1640625" style="245" customWidth="1"/>
    <col min="8453" max="8454" width="7.83203125" style="245" customWidth="1"/>
    <col min="8455" max="8455" width="17.1640625" style="245" customWidth="1"/>
    <col min="8456" max="8457" width="7.83203125" style="245" customWidth="1"/>
    <col min="8458" max="8458" width="3.1640625" style="245" customWidth="1"/>
    <col min="8459" max="8459" width="19.5" style="245" customWidth="1"/>
    <col min="8460" max="8461" width="3.1640625" style="245" customWidth="1"/>
    <col min="8462" max="8704" width="9.33203125" style="245"/>
    <col min="8705" max="8706" width="3.1640625" style="245" customWidth="1"/>
    <col min="8707" max="8707" width="19.5" style="245" customWidth="1"/>
    <col min="8708" max="8708" width="3.1640625" style="245" customWidth="1"/>
    <col min="8709" max="8710" width="7.83203125" style="245" customWidth="1"/>
    <col min="8711" max="8711" width="17.1640625" style="245" customWidth="1"/>
    <col min="8712" max="8713" width="7.83203125" style="245" customWidth="1"/>
    <col min="8714" max="8714" width="3.1640625" style="245" customWidth="1"/>
    <col min="8715" max="8715" width="19.5" style="245" customWidth="1"/>
    <col min="8716" max="8717" width="3.1640625" style="245" customWidth="1"/>
    <col min="8718" max="8960" width="9.33203125" style="245"/>
    <col min="8961" max="8962" width="3.1640625" style="245" customWidth="1"/>
    <col min="8963" max="8963" width="19.5" style="245" customWidth="1"/>
    <col min="8964" max="8964" width="3.1640625" style="245" customWidth="1"/>
    <col min="8965" max="8966" width="7.83203125" style="245" customWidth="1"/>
    <col min="8967" max="8967" width="17.1640625" style="245" customWidth="1"/>
    <col min="8968" max="8969" width="7.83203125" style="245" customWidth="1"/>
    <col min="8970" max="8970" width="3.1640625" style="245" customWidth="1"/>
    <col min="8971" max="8971" width="19.5" style="245" customWidth="1"/>
    <col min="8972" max="8973" width="3.1640625" style="245" customWidth="1"/>
    <col min="8974" max="9216" width="9.33203125" style="245"/>
    <col min="9217" max="9218" width="3.1640625" style="245" customWidth="1"/>
    <col min="9219" max="9219" width="19.5" style="245" customWidth="1"/>
    <col min="9220" max="9220" width="3.1640625" style="245" customWidth="1"/>
    <col min="9221" max="9222" width="7.83203125" style="245" customWidth="1"/>
    <col min="9223" max="9223" width="17.1640625" style="245" customWidth="1"/>
    <col min="9224" max="9225" width="7.83203125" style="245" customWidth="1"/>
    <col min="9226" max="9226" width="3.1640625" style="245" customWidth="1"/>
    <col min="9227" max="9227" width="19.5" style="245" customWidth="1"/>
    <col min="9228" max="9229" width="3.1640625" style="245" customWidth="1"/>
    <col min="9230" max="9472" width="9.33203125" style="245"/>
    <col min="9473" max="9474" width="3.1640625" style="245" customWidth="1"/>
    <col min="9475" max="9475" width="19.5" style="245" customWidth="1"/>
    <col min="9476" max="9476" width="3.1640625" style="245" customWidth="1"/>
    <col min="9477" max="9478" width="7.83203125" style="245" customWidth="1"/>
    <col min="9479" max="9479" width="17.1640625" style="245" customWidth="1"/>
    <col min="9480" max="9481" width="7.83203125" style="245" customWidth="1"/>
    <col min="9482" max="9482" width="3.1640625" style="245" customWidth="1"/>
    <col min="9483" max="9483" width="19.5" style="245" customWidth="1"/>
    <col min="9484" max="9485" width="3.1640625" style="245" customWidth="1"/>
    <col min="9486" max="9728" width="9.33203125" style="245"/>
    <col min="9729" max="9730" width="3.1640625" style="245" customWidth="1"/>
    <col min="9731" max="9731" width="19.5" style="245" customWidth="1"/>
    <col min="9732" max="9732" width="3.1640625" style="245" customWidth="1"/>
    <col min="9733" max="9734" width="7.83203125" style="245" customWidth="1"/>
    <col min="9735" max="9735" width="17.1640625" style="245" customWidth="1"/>
    <col min="9736" max="9737" width="7.83203125" style="245" customWidth="1"/>
    <col min="9738" max="9738" width="3.1640625" style="245" customWidth="1"/>
    <col min="9739" max="9739" width="19.5" style="245" customWidth="1"/>
    <col min="9740" max="9741" width="3.1640625" style="245" customWidth="1"/>
    <col min="9742" max="9984" width="9.33203125" style="245"/>
    <col min="9985" max="9986" width="3.1640625" style="245" customWidth="1"/>
    <col min="9987" max="9987" width="19.5" style="245" customWidth="1"/>
    <col min="9988" max="9988" width="3.1640625" style="245" customWidth="1"/>
    <col min="9989" max="9990" width="7.83203125" style="245" customWidth="1"/>
    <col min="9991" max="9991" width="17.1640625" style="245" customWidth="1"/>
    <col min="9992" max="9993" width="7.83203125" style="245" customWidth="1"/>
    <col min="9994" max="9994" width="3.1640625" style="245" customWidth="1"/>
    <col min="9995" max="9995" width="19.5" style="245" customWidth="1"/>
    <col min="9996" max="9997" width="3.1640625" style="245" customWidth="1"/>
    <col min="9998" max="10240" width="9.33203125" style="245"/>
    <col min="10241" max="10242" width="3.1640625" style="245" customWidth="1"/>
    <col min="10243" max="10243" width="19.5" style="245" customWidth="1"/>
    <col min="10244" max="10244" width="3.1640625" style="245" customWidth="1"/>
    <col min="10245" max="10246" width="7.83203125" style="245" customWidth="1"/>
    <col min="10247" max="10247" width="17.1640625" style="245" customWidth="1"/>
    <col min="10248" max="10249" width="7.83203125" style="245" customWidth="1"/>
    <col min="10250" max="10250" width="3.1640625" style="245" customWidth="1"/>
    <col min="10251" max="10251" width="19.5" style="245" customWidth="1"/>
    <col min="10252" max="10253" width="3.1640625" style="245" customWidth="1"/>
    <col min="10254" max="10496" width="9.33203125" style="245"/>
    <col min="10497" max="10498" width="3.1640625" style="245" customWidth="1"/>
    <col min="10499" max="10499" width="19.5" style="245" customWidth="1"/>
    <col min="10500" max="10500" width="3.1640625" style="245" customWidth="1"/>
    <col min="10501" max="10502" width="7.83203125" style="245" customWidth="1"/>
    <col min="10503" max="10503" width="17.1640625" style="245" customWidth="1"/>
    <col min="10504" max="10505" width="7.83203125" style="245" customWidth="1"/>
    <col min="10506" max="10506" width="3.1640625" style="245" customWidth="1"/>
    <col min="10507" max="10507" width="19.5" style="245" customWidth="1"/>
    <col min="10508" max="10509" width="3.1640625" style="245" customWidth="1"/>
    <col min="10510" max="10752" width="9.33203125" style="245"/>
    <col min="10753" max="10754" width="3.1640625" style="245" customWidth="1"/>
    <col min="10755" max="10755" width="19.5" style="245" customWidth="1"/>
    <col min="10756" max="10756" width="3.1640625" style="245" customWidth="1"/>
    <col min="10757" max="10758" width="7.83203125" style="245" customWidth="1"/>
    <col min="10759" max="10759" width="17.1640625" style="245" customWidth="1"/>
    <col min="10760" max="10761" width="7.83203125" style="245" customWidth="1"/>
    <col min="10762" max="10762" width="3.1640625" style="245" customWidth="1"/>
    <col min="10763" max="10763" width="19.5" style="245" customWidth="1"/>
    <col min="10764" max="10765" width="3.1640625" style="245" customWidth="1"/>
    <col min="10766" max="11008" width="9.33203125" style="245"/>
    <col min="11009" max="11010" width="3.1640625" style="245" customWidth="1"/>
    <col min="11011" max="11011" width="19.5" style="245" customWidth="1"/>
    <col min="11012" max="11012" width="3.1640625" style="245" customWidth="1"/>
    <col min="11013" max="11014" width="7.83203125" style="245" customWidth="1"/>
    <col min="11015" max="11015" width="17.1640625" style="245" customWidth="1"/>
    <col min="11016" max="11017" width="7.83203125" style="245" customWidth="1"/>
    <col min="11018" max="11018" width="3.1640625" style="245" customWidth="1"/>
    <col min="11019" max="11019" width="19.5" style="245" customWidth="1"/>
    <col min="11020" max="11021" width="3.1640625" style="245" customWidth="1"/>
    <col min="11022" max="11264" width="9.33203125" style="245"/>
    <col min="11265" max="11266" width="3.1640625" style="245" customWidth="1"/>
    <col min="11267" max="11267" width="19.5" style="245" customWidth="1"/>
    <col min="11268" max="11268" width="3.1640625" style="245" customWidth="1"/>
    <col min="11269" max="11270" width="7.83203125" style="245" customWidth="1"/>
    <col min="11271" max="11271" width="17.1640625" style="245" customWidth="1"/>
    <col min="11272" max="11273" width="7.83203125" style="245" customWidth="1"/>
    <col min="11274" max="11274" width="3.1640625" style="245" customWidth="1"/>
    <col min="11275" max="11275" width="19.5" style="245" customWidth="1"/>
    <col min="11276" max="11277" width="3.1640625" style="245" customWidth="1"/>
    <col min="11278" max="11520" width="9.33203125" style="245"/>
    <col min="11521" max="11522" width="3.1640625" style="245" customWidth="1"/>
    <col min="11523" max="11523" width="19.5" style="245" customWidth="1"/>
    <col min="11524" max="11524" width="3.1640625" style="245" customWidth="1"/>
    <col min="11525" max="11526" width="7.83203125" style="245" customWidth="1"/>
    <col min="11527" max="11527" width="17.1640625" style="245" customWidth="1"/>
    <col min="11528" max="11529" width="7.83203125" style="245" customWidth="1"/>
    <col min="11530" max="11530" width="3.1640625" style="245" customWidth="1"/>
    <col min="11531" max="11531" width="19.5" style="245" customWidth="1"/>
    <col min="11532" max="11533" width="3.1640625" style="245" customWidth="1"/>
    <col min="11534" max="11776" width="9.33203125" style="245"/>
    <col min="11777" max="11778" width="3.1640625" style="245" customWidth="1"/>
    <col min="11779" max="11779" width="19.5" style="245" customWidth="1"/>
    <col min="11780" max="11780" width="3.1640625" style="245" customWidth="1"/>
    <col min="11781" max="11782" width="7.83203125" style="245" customWidth="1"/>
    <col min="11783" max="11783" width="17.1640625" style="245" customWidth="1"/>
    <col min="11784" max="11785" width="7.83203125" style="245" customWidth="1"/>
    <col min="11786" max="11786" width="3.1640625" style="245" customWidth="1"/>
    <col min="11787" max="11787" width="19.5" style="245" customWidth="1"/>
    <col min="11788" max="11789" width="3.1640625" style="245" customWidth="1"/>
    <col min="11790" max="12032" width="9.33203125" style="245"/>
    <col min="12033" max="12034" width="3.1640625" style="245" customWidth="1"/>
    <col min="12035" max="12035" width="19.5" style="245" customWidth="1"/>
    <col min="12036" max="12036" width="3.1640625" style="245" customWidth="1"/>
    <col min="12037" max="12038" width="7.83203125" style="245" customWidth="1"/>
    <col min="12039" max="12039" width="17.1640625" style="245" customWidth="1"/>
    <col min="12040" max="12041" width="7.83203125" style="245" customWidth="1"/>
    <col min="12042" max="12042" width="3.1640625" style="245" customWidth="1"/>
    <col min="12043" max="12043" width="19.5" style="245" customWidth="1"/>
    <col min="12044" max="12045" width="3.1640625" style="245" customWidth="1"/>
    <col min="12046" max="12288" width="9.33203125" style="245"/>
    <col min="12289" max="12290" width="3.1640625" style="245" customWidth="1"/>
    <col min="12291" max="12291" width="19.5" style="245" customWidth="1"/>
    <col min="12292" max="12292" width="3.1640625" style="245" customWidth="1"/>
    <col min="12293" max="12294" width="7.83203125" style="245" customWidth="1"/>
    <col min="12295" max="12295" width="17.1640625" style="245" customWidth="1"/>
    <col min="12296" max="12297" width="7.83203125" style="245" customWidth="1"/>
    <col min="12298" max="12298" width="3.1640625" style="245" customWidth="1"/>
    <col min="12299" max="12299" width="19.5" style="245" customWidth="1"/>
    <col min="12300" max="12301" width="3.1640625" style="245" customWidth="1"/>
    <col min="12302" max="12544" width="9.33203125" style="245"/>
    <col min="12545" max="12546" width="3.1640625" style="245" customWidth="1"/>
    <col min="12547" max="12547" width="19.5" style="245" customWidth="1"/>
    <col min="12548" max="12548" width="3.1640625" style="245" customWidth="1"/>
    <col min="12549" max="12550" width="7.83203125" style="245" customWidth="1"/>
    <col min="12551" max="12551" width="17.1640625" style="245" customWidth="1"/>
    <col min="12552" max="12553" width="7.83203125" style="245" customWidth="1"/>
    <col min="12554" max="12554" width="3.1640625" style="245" customWidth="1"/>
    <col min="12555" max="12555" width="19.5" style="245" customWidth="1"/>
    <col min="12556" max="12557" width="3.1640625" style="245" customWidth="1"/>
    <col min="12558" max="12800" width="9.33203125" style="245"/>
    <col min="12801" max="12802" width="3.1640625" style="245" customWidth="1"/>
    <col min="12803" max="12803" width="19.5" style="245" customWidth="1"/>
    <col min="12804" max="12804" width="3.1640625" style="245" customWidth="1"/>
    <col min="12805" max="12806" width="7.83203125" style="245" customWidth="1"/>
    <col min="12807" max="12807" width="17.1640625" style="245" customWidth="1"/>
    <col min="12808" max="12809" width="7.83203125" style="245" customWidth="1"/>
    <col min="12810" max="12810" width="3.1640625" style="245" customWidth="1"/>
    <col min="12811" max="12811" width="19.5" style="245" customWidth="1"/>
    <col min="12812" max="12813" width="3.1640625" style="245" customWidth="1"/>
    <col min="12814" max="13056" width="9.33203125" style="245"/>
    <col min="13057" max="13058" width="3.1640625" style="245" customWidth="1"/>
    <col min="13059" max="13059" width="19.5" style="245" customWidth="1"/>
    <col min="13060" max="13060" width="3.1640625" style="245" customWidth="1"/>
    <col min="13061" max="13062" width="7.83203125" style="245" customWidth="1"/>
    <col min="13063" max="13063" width="17.1640625" style="245" customWidth="1"/>
    <col min="13064" max="13065" width="7.83203125" style="245" customWidth="1"/>
    <col min="13066" max="13066" width="3.1640625" style="245" customWidth="1"/>
    <col min="13067" max="13067" width="19.5" style="245" customWidth="1"/>
    <col min="13068" max="13069" width="3.1640625" style="245" customWidth="1"/>
    <col min="13070" max="13312" width="9.33203125" style="245"/>
    <col min="13313" max="13314" width="3.1640625" style="245" customWidth="1"/>
    <col min="13315" max="13315" width="19.5" style="245" customWidth="1"/>
    <col min="13316" max="13316" width="3.1640625" style="245" customWidth="1"/>
    <col min="13317" max="13318" width="7.83203125" style="245" customWidth="1"/>
    <col min="13319" max="13319" width="17.1640625" style="245" customWidth="1"/>
    <col min="13320" max="13321" width="7.83203125" style="245" customWidth="1"/>
    <col min="13322" max="13322" width="3.1640625" style="245" customWidth="1"/>
    <col min="13323" max="13323" width="19.5" style="245" customWidth="1"/>
    <col min="13324" max="13325" width="3.1640625" style="245" customWidth="1"/>
    <col min="13326" max="13568" width="9.33203125" style="245"/>
    <col min="13569" max="13570" width="3.1640625" style="245" customWidth="1"/>
    <col min="13571" max="13571" width="19.5" style="245" customWidth="1"/>
    <col min="13572" max="13572" width="3.1640625" style="245" customWidth="1"/>
    <col min="13573" max="13574" width="7.83203125" style="245" customWidth="1"/>
    <col min="13575" max="13575" width="17.1640625" style="245" customWidth="1"/>
    <col min="13576" max="13577" width="7.83203125" style="245" customWidth="1"/>
    <col min="13578" max="13578" width="3.1640625" style="245" customWidth="1"/>
    <col min="13579" max="13579" width="19.5" style="245" customWidth="1"/>
    <col min="13580" max="13581" width="3.1640625" style="245" customWidth="1"/>
    <col min="13582" max="13824" width="9.33203125" style="245"/>
    <col min="13825" max="13826" width="3.1640625" style="245" customWidth="1"/>
    <col min="13827" max="13827" width="19.5" style="245" customWidth="1"/>
    <col min="13828" max="13828" width="3.1640625" style="245" customWidth="1"/>
    <col min="13829" max="13830" width="7.83203125" style="245" customWidth="1"/>
    <col min="13831" max="13831" width="17.1640625" style="245" customWidth="1"/>
    <col min="13832" max="13833" width="7.83203125" style="245" customWidth="1"/>
    <col min="13834" max="13834" width="3.1640625" style="245" customWidth="1"/>
    <col min="13835" max="13835" width="19.5" style="245" customWidth="1"/>
    <col min="13836" max="13837" width="3.1640625" style="245" customWidth="1"/>
    <col min="13838" max="14080" width="9.33203125" style="245"/>
    <col min="14081" max="14082" width="3.1640625" style="245" customWidth="1"/>
    <col min="14083" max="14083" width="19.5" style="245" customWidth="1"/>
    <col min="14084" max="14084" width="3.1640625" style="245" customWidth="1"/>
    <col min="14085" max="14086" width="7.83203125" style="245" customWidth="1"/>
    <col min="14087" max="14087" width="17.1640625" style="245" customWidth="1"/>
    <col min="14088" max="14089" width="7.83203125" style="245" customWidth="1"/>
    <col min="14090" max="14090" width="3.1640625" style="245" customWidth="1"/>
    <col min="14091" max="14091" width="19.5" style="245" customWidth="1"/>
    <col min="14092" max="14093" width="3.1640625" style="245" customWidth="1"/>
    <col min="14094" max="14336" width="9.33203125" style="245"/>
    <col min="14337" max="14338" width="3.1640625" style="245" customWidth="1"/>
    <col min="14339" max="14339" width="19.5" style="245" customWidth="1"/>
    <col min="14340" max="14340" width="3.1640625" style="245" customWidth="1"/>
    <col min="14341" max="14342" width="7.83203125" style="245" customWidth="1"/>
    <col min="14343" max="14343" width="17.1640625" style="245" customWidth="1"/>
    <col min="14344" max="14345" width="7.83203125" style="245" customWidth="1"/>
    <col min="14346" max="14346" width="3.1640625" style="245" customWidth="1"/>
    <col min="14347" max="14347" width="19.5" style="245" customWidth="1"/>
    <col min="14348" max="14349" width="3.1640625" style="245" customWidth="1"/>
    <col min="14350" max="14592" width="9.33203125" style="245"/>
    <col min="14593" max="14594" width="3.1640625" style="245" customWidth="1"/>
    <col min="14595" max="14595" width="19.5" style="245" customWidth="1"/>
    <col min="14596" max="14596" width="3.1640625" style="245" customWidth="1"/>
    <col min="14597" max="14598" width="7.83203125" style="245" customWidth="1"/>
    <col min="14599" max="14599" width="17.1640625" style="245" customWidth="1"/>
    <col min="14600" max="14601" width="7.83203125" style="245" customWidth="1"/>
    <col min="14602" max="14602" width="3.1640625" style="245" customWidth="1"/>
    <col min="14603" max="14603" width="19.5" style="245" customWidth="1"/>
    <col min="14604" max="14605" width="3.1640625" style="245" customWidth="1"/>
    <col min="14606" max="14848" width="9.33203125" style="245"/>
    <col min="14849" max="14850" width="3.1640625" style="245" customWidth="1"/>
    <col min="14851" max="14851" width="19.5" style="245" customWidth="1"/>
    <col min="14852" max="14852" width="3.1640625" style="245" customWidth="1"/>
    <col min="14853" max="14854" width="7.83203125" style="245" customWidth="1"/>
    <col min="14855" max="14855" width="17.1640625" style="245" customWidth="1"/>
    <col min="14856" max="14857" width="7.83203125" style="245" customWidth="1"/>
    <col min="14858" max="14858" width="3.1640625" style="245" customWidth="1"/>
    <col min="14859" max="14859" width="19.5" style="245" customWidth="1"/>
    <col min="14860" max="14861" width="3.1640625" style="245" customWidth="1"/>
    <col min="14862" max="15104" width="9.33203125" style="245"/>
    <col min="15105" max="15106" width="3.1640625" style="245" customWidth="1"/>
    <col min="15107" max="15107" width="19.5" style="245" customWidth="1"/>
    <col min="15108" max="15108" width="3.1640625" style="245" customWidth="1"/>
    <col min="15109" max="15110" width="7.83203125" style="245" customWidth="1"/>
    <col min="15111" max="15111" width="17.1640625" style="245" customWidth="1"/>
    <col min="15112" max="15113" width="7.83203125" style="245" customWidth="1"/>
    <col min="15114" max="15114" width="3.1640625" style="245" customWidth="1"/>
    <col min="15115" max="15115" width="19.5" style="245" customWidth="1"/>
    <col min="15116" max="15117" width="3.1640625" style="245" customWidth="1"/>
    <col min="15118" max="15360" width="9.33203125" style="245"/>
    <col min="15361" max="15362" width="3.1640625" style="245" customWidth="1"/>
    <col min="15363" max="15363" width="19.5" style="245" customWidth="1"/>
    <col min="15364" max="15364" width="3.1640625" style="245" customWidth="1"/>
    <col min="15365" max="15366" width="7.83203125" style="245" customWidth="1"/>
    <col min="15367" max="15367" width="17.1640625" style="245" customWidth="1"/>
    <col min="15368" max="15369" width="7.83203125" style="245" customWidth="1"/>
    <col min="15370" max="15370" width="3.1640625" style="245" customWidth="1"/>
    <col min="15371" max="15371" width="19.5" style="245" customWidth="1"/>
    <col min="15372" max="15373" width="3.1640625" style="245" customWidth="1"/>
    <col min="15374" max="15616" width="9.33203125" style="245"/>
    <col min="15617" max="15618" width="3.1640625" style="245" customWidth="1"/>
    <col min="15619" max="15619" width="19.5" style="245" customWidth="1"/>
    <col min="15620" max="15620" width="3.1640625" style="245" customWidth="1"/>
    <col min="15621" max="15622" width="7.83203125" style="245" customWidth="1"/>
    <col min="15623" max="15623" width="17.1640625" style="245" customWidth="1"/>
    <col min="15624" max="15625" width="7.83203125" style="245" customWidth="1"/>
    <col min="15626" max="15626" width="3.1640625" style="245" customWidth="1"/>
    <col min="15627" max="15627" width="19.5" style="245" customWidth="1"/>
    <col min="15628" max="15629" width="3.1640625" style="245" customWidth="1"/>
    <col min="15630" max="15872" width="9.33203125" style="245"/>
    <col min="15873" max="15874" width="3.1640625" style="245" customWidth="1"/>
    <col min="15875" max="15875" width="19.5" style="245" customWidth="1"/>
    <col min="15876" max="15876" width="3.1640625" style="245" customWidth="1"/>
    <col min="15877" max="15878" width="7.83203125" style="245" customWidth="1"/>
    <col min="15879" max="15879" width="17.1640625" style="245" customWidth="1"/>
    <col min="15880" max="15881" width="7.83203125" style="245" customWidth="1"/>
    <col min="15882" max="15882" width="3.1640625" style="245" customWidth="1"/>
    <col min="15883" max="15883" width="19.5" style="245" customWidth="1"/>
    <col min="15884" max="15885" width="3.1640625" style="245" customWidth="1"/>
    <col min="15886" max="16128" width="9.33203125" style="245"/>
    <col min="16129" max="16130" width="3.1640625" style="245" customWidth="1"/>
    <col min="16131" max="16131" width="19.5" style="245" customWidth="1"/>
    <col min="16132" max="16132" width="3.1640625" style="245" customWidth="1"/>
    <col min="16133" max="16134" width="7.83203125" style="245" customWidth="1"/>
    <col min="16135" max="16135" width="17.1640625" style="245" customWidth="1"/>
    <col min="16136" max="16137" width="7.83203125" style="245" customWidth="1"/>
    <col min="16138" max="16138" width="3.1640625" style="245" customWidth="1"/>
    <col min="16139" max="16139" width="19.5" style="245" customWidth="1"/>
    <col min="16140" max="16141" width="3.1640625" style="245" customWidth="1"/>
    <col min="16142" max="16384" width="9.33203125" style="245"/>
  </cols>
  <sheetData>
    <row r="1" spans="1:13" x14ac:dyDescent="0.2">
      <c r="A1" s="277"/>
      <c r="B1" s="278"/>
      <c r="C1" s="278"/>
      <c r="D1" s="278"/>
      <c r="E1" s="278"/>
      <c r="F1" s="278"/>
      <c r="G1" s="278"/>
      <c r="H1" s="278"/>
      <c r="I1" s="278"/>
      <c r="J1" s="278"/>
      <c r="K1" s="278"/>
      <c r="L1" s="278"/>
      <c r="M1" s="279"/>
    </row>
    <row r="2" spans="1:13" ht="18.75" x14ac:dyDescent="0.3">
      <c r="A2" s="246"/>
      <c r="B2" s="342" t="s">
        <v>631</v>
      </c>
      <c r="C2" s="346"/>
      <c r="D2" s="346"/>
      <c r="E2" s="346"/>
      <c r="F2" s="346"/>
      <c r="G2" s="346"/>
      <c r="H2" s="346"/>
      <c r="I2" s="346"/>
      <c r="J2" s="346"/>
      <c r="K2" s="346"/>
      <c r="L2" s="363"/>
      <c r="M2" s="247"/>
    </row>
    <row r="3" spans="1:13" x14ac:dyDescent="0.2">
      <c r="A3" s="280"/>
      <c r="B3" s="232"/>
      <c r="C3" s="232"/>
      <c r="D3" s="232"/>
      <c r="E3" s="232"/>
      <c r="F3" s="232"/>
      <c r="G3" s="232"/>
      <c r="H3" s="232"/>
      <c r="I3" s="232"/>
      <c r="J3" s="232"/>
      <c r="K3" s="232"/>
      <c r="L3" s="232"/>
      <c r="M3" s="281"/>
    </row>
    <row r="4" spans="1:13" x14ac:dyDescent="0.2">
      <c r="A4" s="280"/>
      <c r="B4" s="382" t="s">
        <v>632</v>
      </c>
      <c r="C4" s="348"/>
      <c r="D4" s="348"/>
      <c r="E4" s="348"/>
      <c r="F4" s="348"/>
      <c r="G4" s="348"/>
      <c r="H4" s="348"/>
      <c r="I4" s="348"/>
      <c r="J4" s="348"/>
      <c r="K4" s="348"/>
      <c r="L4" s="348"/>
      <c r="M4" s="281"/>
    </row>
    <row r="5" spans="1:13" x14ac:dyDescent="0.2">
      <c r="A5" s="280"/>
      <c r="B5" s="348"/>
      <c r="C5" s="348"/>
      <c r="D5" s="348"/>
      <c r="E5" s="348"/>
      <c r="F5" s="348"/>
      <c r="G5" s="348"/>
      <c r="H5" s="348"/>
      <c r="I5" s="348"/>
      <c r="J5" s="348"/>
      <c r="K5" s="348"/>
      <c r="L5" s="348"/>
      <c r="M5" s="281"/>
    </row>
    <row r="6" spans="1:13" x14ac:dyDescent="0.2">
      <c r="A6" s="280"/>
      <c r="B6" s="348"/>
      <c r="C6" s="348"/>
      <c r="D6" s="348"/>
      <c r="E6" s="348"/>
      <c r="F6" s="348"/>
      <c r="G6" s="348"/>
      <c r="H6" s="348"/>
      <c r="I6" s="348"/>
      <c r="J6" s="348"/>
      <c r="K6" s="348"/>
      <c r="L6" s="348"/>
      <c r="M6" s="281"/>
    </row>
    <row r="7" spans="1:13" x14ac:dyDescent="0.2">
      <c r="A7" s="280"/>
      <c r="B7" s="350"/>
      <c r="C7" s="350"/>
      <c r="D7" s="350"/>
      <c r="E7" s="350"/>
      <c r="F7" s="350"/>
      <c r="G7" s="350"/>
      <c r="H7" s="350"/>
      <c r="I7" s="350"/>
      <c r="J7" s="350"/>
      <c r="K7" s="350"/>
      <c r="L7" s="350"/>
      <c r="M7" s="281"/>
    </row>
    <row r="8" spans="1:13" x14ac:dyDescent="0.2">
      <c r="A8" s="280"/>
      <c r="B8" s="238"/>
      <c r="C8" s="238"/>
      <c r="D8" s="238"/>
      <c r="E8" s="238"/>
      <c r="F8" s="238"/>
      <c r="G8" s="238"/>
      <c r="H8" s="238"/>
      <c r="I8" s="238"/>
      <c r="J8" s="238"/>
      <c r="K8" s="238"/>
      <c r="L8" s="238"/>
      <c r="M8" s="281"/>
    </row>
    <row r="9" spans="1:13" x14ac:dyDescent="0.2">
      <c r="A9" s="280"/>
      <c r="B9" s="383" t="s">
        <v>633</v>
      </c>
      <c r="C9" s="383"/>
      <c r="D9" s="383"/>
      <c r="E9" s="383"/>
      <c r="F9" s="383"/>
      <c r="G9" s="383"/>
      <c r="H9" s="383"/>
      <c r="I9" s="383"/>
      <c r="J9" s="383"/>
      <c r="K9" s="383"/>
      <c r="L9" s="238"/>
      <c r="M9" s="281"/>
    </row>
    <row r="10" spans="1:13" x14ac:dyDescent="0.2">
      <c r="A10" s="280"/>
      <c r="B10" s="384"/>
      <c r="C10" s="384"/>
      <c r="D10" s="384"/>
      <c r="E10" s="384"/>
      <c r="F10" s="384"/>
      <c r="G10" s="384"/>
      <c r="H10" s="384"/>
      <c r="I10" s="384"/>
      <c r="J10" s="384"/>
      <c r="K10" s="384"/>
      <c r="L10" s="238"/>
      <c r="M10" s="281"/>
    </row>
    <row r="11" spans="1:13" x14ac:dyDescent="0.2">
      <c r="A11" s="280"/>
      <c r="B11" s="384"/>
      <c r="C11" s="384"/>
      <c r="D11" s="384"/>
      <c r="E11" s="384"/>
      <c r="F11" s="384"/>
      <c r="G11" s="384"/>
      <c r="H11" s="384"/>
      <c r="I11" s="384"/>
      <c r="J11" s="384"/>
      <c r="K11" s="384"/>
      <c r="L11" s="238"/>
      <c r="M11" s="281"/>
    </row>
    <row r="12" spans="1:13" x14ac:dyDescent="0.2">
      <c r="A12" s="280"/>
      <c r="B12" s="384"/>
      <c r="C12" s="384"/>
      <c r="D12" s="384"/>
      <c r="E12" s="384"/>
      <c r="F12" s="384"/>
      <c r="G12" s="384"/>
      <c r="H12" s="384"/>
      <c r="I12" s="384"/>
      <c r="J12" s="384"/>
      <c r="K12" s="384"/>
      <c r="L12" s="238"/>
      <c r="M12" s="281"/>
    </row>
    <row r="13" spans="1:13" ht="13.5" thickBot="1" x14ac:dyDescent="0.25">
      <c r="A13" s="280"/>
      <c r="B13" s="232"/>
      <c r="C13" s="232"/>
      <c r="D13" s="232"/>
      <c r="E13" s="232"/>
      <c r="F13" s="232"/>
      <c r="G13" s="232"/>
      <c r="H13" s="232"/>
      <c r="I13" s="232"/>
      <c r="J13" s="232"/>
      <c r="K13" s="232"/>
      <c r="L13" s="232"/>
      <c r="M13" s="281"/>
    </row>
    <row r="14" spans="1:13" x14ac:dyDescent="0.2">
      <c r="A14" s="280"/>
      <c r="B14" s="277"/>
      <c r="C14" s="278"/>
      <c r="D14" s="278"/>
      <c r="E14" s="278"/>
      <c r="F14" s="278"/>
      <c r="G14" s="278"/>
      <c r="H14" s="278"/>
      <c r="I14" s="278"/>
      <c r="J14" s="278"/>
      <c r="K14" s="278"/>
      <c r="L14" s="279"/>
      <c r="M14" s="281"/>
    </row>
    <row r="15" spans="1:13" x14ac:dyDescent="0.2">
      <c r="A15" s="280"/>
      <c r="B15" s="280"/>
      <c r="C15" s="232"/>
      <c r="D15" s="232"/>
      <c r="E15" s="232"/>
      <c r="F15" s="232"/>
      <c r="G15" s="34" t="s">
        <v>634</v>
      </c>
      <c r="H15" s="232"/>
      <c r="I15" s="232"/>
      <c r="J15" s="232"/>
      <c r="K15" s="232"/>
      <c r="L15" s="281"/>
      <c r="M15" s="281"/>
    </row>
    <row r="16" spans="1:13" x14ac:dyDescent="0.2">
      <c r="A16" s="280"/>
      <c r="B16" s="280"/>
      <c r="C16" s="282"/>
      <c r="D16" s="232"/>
      <c r="E16" s="232"/>
      <c r="F16" s="232"/>
      <c r="G16" s="87">
        <v>0.06</v>
      </c>
      <c r="H16" s="232"/>
      <c r="I16" s="232"/>
      <c r="J16" s="232"/>
      <c r="K16" s="282"/>
      <c r="L16" s="281"/>
      <c r="M16" s="281"/>
    </row>
    <row r="17" spans="1:13" x14ac:dyDescent="0.2">
      <c r="A17" s="280"/>
      <c r="B17" s="280"/>
      <c r="C17" s="34"/>
      <c r="D17" s="232"/>
      <c r="E17" s="232"/>
      <c r="F17" s="232"/>
      <c r="G17" s="87"/>
      <c r="H17" s="232"/>
      <c r="I17" s="232"/>
      <c r="J17" s="232"/>
      <c r="K17" s="283" t="s">
        <v>635</v>
      </c>
      <c r="L17" s="281"/>
      <c r="M17" s="281"/>
    </row>
    <row r="18" spans="1:13" x14ac:dyDescent="0.2">
      <c r="A18" s="280"/>
      <c r="B18" s="280"/>
      <c r="C18" s="284">
        <f>K18/G18</f>
        <v>29556650.246305421</v>
      </c>
      <c r="D18" s="232"/>
      <c r="E18" s="285" t="s">
        <v>636</v>
      </c>
      <c r="F18" s="285" t="s">
        <v>636</v>
      </c>
      <c r="G18" s="286">
        <f>1+(G16/4)</f>
        <v>1.0149999999999999</v>
      </c>
      <c r="H18" s="285" t="s">
        <v>636</v>
      </c>
      <c r="I18" s="285" t="s">
        <v>636</v>
      </c>
      <c r="J18" s="232"/>
      <c r="K18" s="284">
        <v>30000000</v>
      </c>
      <c r="L18" s="281"/>
      <c r="M18" s="281"/>
    </row>
    <row r="19" spans="1:13" x14ac:dyDescent="0.2">
      <c r="A19" s="280"/>
      <c r="B19" s="280"/>
      <c r="C19" s="91" t="s">
        <v>637</v>
      </c>
      <c r="D19" s="232"/>
      <c r="E19" s="287"/>
      <c r="F19" s="232"/>
      <c r="G19" s="286"/>
      <c r="H19" s="232"/>
      <c r="I19" s="232"/>
      <c r="J19" s="232"/>
      <c r="K19" s="91"/>
      <c r="L19" s="281"/>
      <c r="M19" s="281"/>
    </row>
    <row r="20" spans="1:13" ht="13.5" thickBot="1" x14ac:dyDescent="0.25">
      <c r="A20" s="280"/>
      <c r="B20" s="280"/>
      <c r="C20" s="91" t="s">
        <v>637</v>
      </c>
      <c r="D20" s="232"/>
      <c r="E20" s="232"/>
      <c r="F20" s="232"/>
      <c r="G20" s="232"/>
      <c r="H20" s="232"/>
      <c r="I20" s="232"/>
      <c r="J20" s="232"/>
      <c r="K20" s="91"/>
      <c r="L20" s="281"/>
      <c r="M20" s="281"/>
    </row>
    <row r="21" spans="1:13" ht="13.5" thickTop="1" x14ac:dyDescent="0.2">
      <c r="A21" s="280"/>
      <c r="B21" s="280"/>
      <c r="C21" s="91" t="s">
        <v>637</v>
      </c>
      <c r="D21" s="232"/>
      <c r="E21" s="288"/>
      <c r="F21" s="289"/>
      <c r="G21" s="289"/>
      <c r="H21" s="289"/>
      <c r="I21" s="290"/>
      <c r="J21" s="232"/>
      <c r="K21" s="91"/>
      <c r="L21" s="281"/>
      <c r="M21" s="281"/>
    </row>
    <row r="22" spans="1:13" x14ac:dyDescent="0.2">
      <c r="A22" s="280"/>
      <c r="B22" s="280"/>
      <c r="C22" s="91" t="s">
        <v>637</v>
      </c>
      <c r="D22" s="232"/>
      <c r="E22" s="291"/>
      <c r="F22" s="292"/>
      <c r="G22" s="292"/>
      <c r="H22" s="292"/>
      <c r="I22" s="293"/>
      <c r="J22" s="232"/>
      <c r="K22" s="91"/>
      <c r="L22" s="281"/>
      <c r="M22" s="281"/>
    </row>
    <row r="23" spans="1:13" x14ac:dyDescent="0.2">
      <c r="A23" s="280"/>
      <c r="B23" s="280"/>
      <c r="C23" s="91" t="s">
        <v>637</v>
      </c>
      <c r="D23" s="232"/>
      <c r="E23" s="291"/>
      <c r="F23" s="292"/>
      <c r="G23" s="292"/>
      <c r="H23" s="292"/>
      <c r="I23" s="293"/>
      <c r="J23" s="232"/>
      <c r="K23" s="91"/>
      <c r="L23" s="281"/>
      <c r="M23" s="281"/>
    </row>
    <row r="24" spans="1:13" x14ac:dyDescent="0.2">
      <c r="A24" s="280"/>
      <c r="B24" s="280"/>
      <c r="C24" s="34" t="s">
        <v>638</v>
      </c>
      <c r="D24" s="232"/>
      <c r="E24" s="291"/>
      <c r="F24" s="292"/>
      <c r="G24" s="294" t="s">
        <v>639</v>
      </c>
      <c r="H24" s="292"/>
      <c r="I24" s="293"/>
      <c r="J24" s="232"/>
      <c r="K24" s="91"/>
      <c r="L24" s="281"/>
      <c r="M24" s="281"/>
    </row>
    <row r="25" spans="1:13" x14ac:dyDescent="0.2">
      <c r="A25" s="280"/>
      <c r="B25" s="280"/>
      <c r="C25" s="295">
        <v>800</v>
      </c>
      <c r="D25" s="232"/>
      <c r="E25" s="291"/>
      <c r="F25" s="292"/>
      <c r="G25" s="292"/>
      <c r="H25" s="292"/>
      <c r="I25" s="293"/>
      <c r="J25" s="232"/>
      <c r="K25" s="91"/>
      <c r="L25" s="281"/>
      <c r="M25" s="281"/>
    </row>
    <row r="26" spans="1:13" x14ac:dyDescent="0.2">
      <c r="A26" s="280"/>
      <c r="B26" s="280"/>
      <c r="C26" s="91" t="s">
        <v>637</v>
      </c>
      <c r="D26" s="232"/>
      <c r="E26" s="291"/>
      <c r="F26" s="292"/>
      <c r="G26" s="292"/>
      <c r="H26" s="292"/>
      <c r="I26" s="293"/>
      <c r="J26" s="232"/>
      <c r="K26" s="91"/>
      <c r="L26" s="281"/>
      <c r="M26" s="281"/>
    </row>
    <row r="27" spans="1:13" ht="13.5" thickBot="1" x14ac:dyDescent="0.25">
      <c r="A27" s="280"/>
      <c r="B27" s="280"/>
      <c r="C27" s="91" t="s">
        <v>637</v>
      </c>
      <c r="D27" s="232"/>
      <c r="E27" s="296"/>
      <c r="F27" s="297"/>
      <c r="G27" s="297"/>
      <c r="H27" s="297"/>
      <c r="I27" s="298"/>
      <c r="J27" s="232"/>
      <c r="K27" s="91"/>
      <c r="L27" s="281"/>
      <c r="M27" s="281"/>
    </row>
    <row r="28" spans="1:13" ht="13.5" thickTop="1" x14ac:dyDescent="0.2">
      <c r="A28" s="280"/>
      <c r="B28" s="280"/>
      <c r="C28" s="91" t="s">
        <v>637</v>
      </c>
      <c r="D28" s="232"/>
      <c r="E28" s="232"/>
      <c r="F28" s="232"/>
      <c r="G28" s="232"/>
      <c r="H28" s="232"/>
      <c r="I28" s="232"/>
      <c r="J28" s="232"/>
      <c r="K28" s="91"/>
      <c r="L28" s="281"/>
      <c r="M28" s="281"/>
    </row>
    <row r="29" spans="1:13" ht="13.5" x14ac:dyDescent="0.25">
      <c r="A29" s="280"/>
      <c r="B29" s="280"/>
      <c r="C29" s="299">
        <f>C18*C25</f>
        <v>23645320197.044338</v>
      </c>
      <c r="D29" s="232"/>
      <c r="E29" s="300" t="s">
        <v>640</v>
      </c>
      <c r="F29" s="301"/>
      <c r="G29" s="286"/>
      <c r="H29" s="301"/>
      <c r="I29" s="301"/>
      <c r="J29" s="43"/>
      <c r="K29" s="91"/>
      <c r="L29" s="281"/>
      <c r="M29" s="281"/>
    </row>
    <row r="30" spans="1:13" ht="13.5" x14ac:dyDescent="0.25">
      <c r="A30" s="280"/>
      <c r="B30" s="280"/>
      <c r="C30" s="300"/>
      <c r="D30" s="232"/>
      <c r="E30" s="301"/>
      <c r="F30" s="301"/>
      <c r="G30" s="286"/>
      <c r="H30" s="301"/>
      <c r="I30" s="301"/>
      <c r="J30" s="43"/>
      <c r="K30" s="91"/>
      <c r="L30" s="281"/>
      <c r="M30" s="281"/>
    </row>
    <row r="31" spans="1:13" x14ac:dyDescent="0.2">
      <c r="A31" s="280"/>
      <c r="B31" s="280"/>
      <c r="C31" s="23"/>
      <c r="D31" s="232"/>
      <c r="E31" s="301"/>
      <c r="F31" s="301"/>
      <c r="G31" s="286"/>
      <c r="H31" s="301"/>
      <c r="I31" s="301"/>
      <c r="J31" s="43"/>
      <c r="K31" s="302"/>
      <c r="L31" s="281"/>
      <c r="M31" s="281"/>
    </row>
    <row r="32" spans="1:13" x14ac:dyDescent="0.2">
      <c r="A32" s="280"/>
      <c r="B32" s="280"/>
      <c r="C32" s="303" t="s">
        <v>641</v>
      </c>
      <c r="D32" s="232"/>
      <c r="E32" s="287"/>
      <c r="F32" s="232"/>
      <c r="G32" s="286"/>
      <c r="H32" s="287"/>
      <c r="I32" s="232"/>
      <c r="J32" s="232"/>
      <c r="K32" s="23"/>
      <c r="L32" s="281"/>
      <c r="M32" s="281"/>
    </row>
    <row r="33" spans="1:13" x14ac:dyDescent="0.2">
      <c r="A33" s="280"/>
      <c r="B33" s="280"/>
      <c r="C33" s="304">
        <v>25000000000</v>
      </c>
      <c r="D33" s="232"/>
      <c r="E33" s="232"/>
      <c r="F33" s="232"/>
      <c r="G33" s="87"/>
      <c r="H33" s="232"/>
      <c r="I33" s="232"/>
      <c r="J33" s="232"/>
      <c r="K33" s="34"/>
      <c r="L33" s="281"/>
      <c r="M33" s="281"/>
    </row>
    <row r="34" spans="1:13" x14ac:dyDescent="0.2">
      <c r="A34" s="280"/>
      <c r="B34" s="280"/>
      <c r="C34" s="305">
        <f>-C29</f>
        <v>-23645320197.044338</v>
      </c>
      <c r="D34" s="232"/>
      <c r="E34" s="232"/>
      <c r="F34" s="232"/>
      <c r="G34" s="34"/>
      <c r="H34" s="232"/>
      <c r="I34" s="232"/>
      <c r="J34" s="232"/>
      <c r="K34" s="34" t="s">
        <v>642</v>
      </c>
      <c r="L34" s="281"/>
      <c r="M34" s="281"/>
    </row>
    <row r="35" spans="1:13" x14ac:dyDescent="0.2">
      <c r="A35" s="280"/>
      <c r="B35" s="280"/>
      <c r="C35" s="306">
        <f>C33+C34</f>
        <v>1354679802.9556618</v>
      </c>
      <c r="D35" s="232"/>
      <c r="E35" s="301" t="s">
        <v>643</v>
      </c>
      <c r="F35" s="301" t="s">
        <v>643</v>
      </c>
      <c r="G35" s="286">
        <f>1+G37/4</f>
        <v>1.0125</v>
      </c>
      <c r="H35" s="301" t="s">
        <v>643</v>
      </c>
      <c r="I35" s="301" t="s">
        <v>643</v>
      </c>
      <c r="J35" s="232"/>
      <c r="K35" s="307">
        <f>C35*G35</f>
        <v>1371613300.4926076</v>
      </c>
      <c r="L35" s="281"/>
      <c r="M35" s="281"/>
    </row>
    <row r="36" spans="1:13" x14ac:dyDescent="0.2">
      <c r="A36" s="280"/>
      <c r="B36" s="280"/>
      <c r="C36" s="306"/>
      <c r="D36" s="232"/>
      <c r="E36" s="232"/>
      <c r="F36" s="232"/>
      <c r="G36" s="282"/>
      <c r="H36" s="232"/>
      <c r="I36" s="232"/>
      <c r="J36" s="232"/>
      <c r="K36" s="283"/>
      <c r="L36" s="281"/>
      <c r="M36" s="281"/>
    </row>
    <row r="37" spans="1:13" x14ac:dyDescent="0.2">
      <c r="A37" s="280"/>
      <c r="B37" s="280"/>
      <c r="C37" s="382" t="s">
        <v>644</v>
      </c>
      <c r="D37" s="350"/>
      <c r="E37" s="350"/>
      <c r="F37" s="232"/>
      <c r="G37" s="87">
        <v>0.05</v>
      </c>
      <c r="H37" s="232"/>
      <c r="I37" s="232"/>
      <c r="J37" s="232"/>
      <c r="K37" s="283"/>
      <c r="L37" s="281"/>
      <c r="M37" s="281"/>
    </row>
    <row r="38" spans="1:13" ht="13.5" x14ac:dyDescent="0.25">
      <c r="A38" s="280"/>
      <c r="B38" s="280"/>
      <c r="C38" s="350"/>
      <c r="D38" s="350"/>
      <c r="E38" s="350"/>
      <c r="F38" s="308"/>
      <c r="G38" s="309" t="s">
        <v>645</v>
      </c>
      <c r="H38" s="232"/>
      <c r="I38" s="232"/>
      <c r="J38" s="232"/>
      <c r="L38" s="281"/>
      <c r="M38" s="281"/>
    </row>
    <row r="39" spans="1:13" ht="13.5" thickBot="1" x14ac:dyDescent="0.25">
      <c r="A39" s="280"/>
      <c r="B39" s="310"/>
      <c r="C39" s="240"/>
      <c r="D39" s="240"/>
      <c r="E39" s="240"/>
      <c r="F39" s="240"/>
      <c r="G39" s="240"/>
      <c r="H39" s="240"/>
      <c r="I39" s="240"/>
      <c r="J39" s="240"/>
      <c r="K39" s="240"/>
      <c r="L39" s="311"/>
      <c r="M39" s="281"/>
    </row>
    <row r="40" spans="1:13" x14ac:dyDescent="0.2">
      <c r="A40" s="280"/>
      <c r="B40" s="232"/>
      <c r="C40" s="232"/>
      <c r="D40" s="232"/>
      <c r="E40" s="232"/>
      <c r="F40" s="232"/>
      <c r="G40" s="232"/>
      <c r="H40" s="232"/>
      <c r="I40" s="232"/>
      <c r="J40" s="232"/>
      <c r="K40" s="232"/>
      <c r="L40" s="232"/>
      <c r="M40" s="281"/>
    </row>
    <row r="41" spans="1:13" ht="13.5" thickBot="1" x14ac:dyDescent="0.25">
      <c r="A41" s="310"/>
      <c r="B41" s="240"/>
      <c r="C41" s="240"/>
      <c r="D41" s="240"/>
      <c r="E41" s="240"/>
      <c r="F41" s="240"/>
      <c r="G41" s="240"/>
      <c r="H41" s="240"/>
      <c r="I41" s="240"/>
      <c r="J41" s="240"/>
      <c r="K41" s="240"/>
      <c r="L41" s="240"/>
      <c r="M41" s="311"/>
    </row>
  </sheetData>
  <mergeCells count="4">
    <mergeCell ref="B2:L2"/>
    <mergeCell ref="B4:L7"/>
    <mergeCell ref="B9:K12"/>
    <mergeCell ref="C37:E38"/>
  </mergeCells>
  <printOptions horizontalCentered="1"/>
  <pageMargins left="0.7" right="0.7" top="0.75" bottom="0.75" header="0.3" footer="0.3"/>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workbookViewId="0"/>
  </sheetViews>
  <sheetFormatPr defaultRowHeight="12.75" x14ac:dyDescent="0.2"/>
  <cols>
    <col min="1" max="1" width="2.83203125" customWidth="1"/>
    <col min="2" max="2" width="58.83203125" customWidth="1"/>
    <col min="3" max="3" width="4.83203125" customWidth="1"/>
    <col min="4" max="4" width="20.83203125" customWidth="1"/>
    <col min="5" max="5" width="4.83203125" customWidth="1"/>
    <col min="6" max="6" width="20.83203125" style="3" customWidth="1"/>
    <col min="7" max="7" width="2.83203125" customWidth="1"/>
  </cols>
  <sheetData>
    <row r="1" spans="1:7" x14ac:dyDescent="0.2">
      <c r="A1" s="59"/>
      <c r="B1" s="60"/>
      <c r="C1" s="60"/>
      <c r="D1" s="60"/>
      <c r="E1" s="60"/>
      <c r="F1" s="61"/>
      <c r="G1" s="62"/>
    </row>
    <row r="2" spans="1:7" ht="18.75" x14ac:dyDescent="0.3">
      <c r="A2" s="1"/>
      <c r="B2" s="342" t="s">
        <v>558</v>
      </c>
      <c r="C2" s="342"/>
      <c r="D2" s="342"/>
      <c r="E2" s="346"/>
      <c r="F2" s="346"/>
      <c r="G2" s="2"/>
    </row>
    <row r="3" spans="1:7" x14ac:dyDescent="0.2">
      <c r="A3" s="30"/>
      <c r="B3" s="8"/>
      <c r="C3" s="31"/>
      <c r="D3" s="31"/>
      <c r="E3" s="31"/>
      <c r="F3" s="32"/>
      <c r="G3" s="33"/>
    </row>
    <row r="4" spans="1:7" ht="12.75" customHeight="1" x14ac:dyDescent="0.2">
      <c r="A4" s="30"/>
      <c r="B4" s="351" t="s">
        <v>544</v>
      </c>
      <c r="C4" s="351"/>
      <c r="D4" s="351"/>
      <c r="E4" s="351"/>
      <c r="F4" s="351"/>
      <c r="G4" s="33"/>
    </row>
    <row r="5" spans="1:7" x14ac:dyDescent="0.2">
      <c r="A5" s="30"/>
      <c r="B5" s="351"/>
      <c r="C5" s="351"/>
      <c r="D5" s="351"/>
      <c r="E5" s="351"/>
      <c r="F5" s="351"/>
      <c r="G5" s="33"/>
    </row>
    <row r="6" spans="1:7" x14ac:dyDescent="0.2">
      <c r="A6" s="30"/>
      <c r="B6" s="351"/>
      <c r="C6" s="351"/>
      <c r="D6" s="351"/>
      <c r="E6" s="351"/>
      <c r="F6" s="351"/>
      <c r="G6" s="33"/>
    </row>
    <row r="7" spans="1:7" x14ac:dyDescent="0.2">
      <c r="A7" s="30"/>
      <c r="B7" s="351"/>
      <c r="C7" s="351"/>
      <c r="D7" s="351"/>
      <c r="E7" s="351"/>
      <c r="F7" s="351"/>
      <c r="G7" s="33"/>
    </row>
    <row r="8" spans="1:7" x14ac:dyDescent="0.2">
      <c r="A8" s="30"/>
      <c r="B8" s="352"/>
      <c r="C8" s="352"/>
      <c r="D8" s="352"/>
      <c r="E8" s="352"/>
      <c r="F8" s="352"/>
      <c r="G8" s="33"/>
    </row>
    <row r="9" spans="1:7" x14ac:dyDescent="0.2">
      <c r="A9" s="30"/>
      <c r="B9" s="352"/>
      <c r="C9" s="352"/>
      <c r="D9" s="352"/>
      <c r="E9" s="352"/>
      <c r="F9" s="352"/>
      <c r="G9" s="33"/>
    </row>
    <row r="10" spans="1:7" x14ac:dyDescent="0.2">
      <c r="A10" s="30"/>
      <c r="B10" s="352"/>
      <c r="C10" s="352"/>
      <c r="D10" s="352"/>
      <c r="E10" s="352"/>
      <c r="F10" s="352"/>
      <c r="G10" s="33"/>
    </row>
    <row r="11" spans="1:7" x14ac:dyDescent="0.2">
      <c r="A11" s="30"/>
      <c r="B11" s="95"/>
      <c r="C11" s="95"/>
      <c r="D11" s="95"/>
      <c r="E11" s="95"/>
      <c r="F11" s="95"/>
      <c r="G11" s="33"/>
    </row>
    <row r="12" spans="1:7" x14ac:dyDescent="0.2">
      <c r="A12" s="30"/>
      <c r="B12" s="347" t="s">
        <v>481</v>
      </c>
      <c r="C12" s="348"/>
      <c r="D12" s="348"/>
      <c r="E12" s="348"/>
      <c r="F12" s="348"/>
      <c r="G12" s="33"/>
    </row>
    <row r="13" spans="1:7" x14ac:dyDescent="0.2">
      <c r="A13" s="30"/>
      <c r="B13" s="348"/>
      <c r="C13" s="348"/>
      <c r="D13" s="348"/>
      <c r="E13" s="348"/>
      <c r="F13" s="348"/>
      <c r="G13" s="33"/>
    </row>
    <row r="14" spans="1:7" x14ac:dyDescent="0.2">
      <c r="A14" s="30"/>
      <c r="B14" s="348"/>
      <c r="C14" s="348"/>
      <c r="D14" s="348"/>
      <c r="E14" s="348"/>
      <c r="F14" s="348"/>
      <c r="G14" s="33"/>
    </row>
    <row r="15" spans="1:7" x14ac:dyDescent="0.2">
      <c r="A15" s="30"/>
      <c r="B15" s="31"/>
      <c r="C15" s="31"/>
      <c r="D15" s="31"/>
      <c r="E15" s="31"/>
      <c r="F15" s="32"/>
      <c r="G15" s="33"/>
    </row>
    <row r="16" spans="1:7" x14ac:dyDescent="0.2">
      <c r="A16" s="30"/>
      <c r="B16" s="13" t="s">
        <v>247</v>
      </c>
      <c r="C16" s="31"/>
      <c r="D16" s="14" t="s">
        <v>246</v>
      </c>
      <c r="E16" s="31"/>
      <c r="F16" s="34"/>
      <c r="G16" s="33"/>
    </row>
    <row r="17" spans="1:7" x14ac:dyDescent="0.2">
      <c r="A17" s="30"/>
      <c r="B17" s="9" t="s">
        <v>307</v>
      </c>
      <c r="C17" s="31"/>
      <c r="D17" s="85">
        <v>7500000000</v>
      </c>
      <c r="E17" s="31"/>
      <c r="F17" s="36"/>
      <c r="G17" s="33"/>
    </row>
    <row r="18" spans="1:7" x14ac:dyDescent="0.2">
      <c r="A18" s="30"/>
      <c r="B18" s="9" t="s">
        <v>308</v>
      </c>
      <c r="C18" s="31"/>
      <c r="D18" s="138">
        <v>-1000000000</v>
      </c>
      <c r="E18" s="31"/>
      <c r="F18" s="36"/>
      <c r="G18" s="33"/>
    </row>
    <row r="19" spans="1:7" x14ac:dyDescent="0.2">
      <c r="A19" s="30"/>
      <c r="B19" s="9" t="s">
        <v>309</v>
      </c>
      <c r="C19" s="31"/>
      <c r="D19" s="137">
        <f>D17+D18</f>
        <v>6500000000</v>
      </c>
      <c r="E19" s="31"/>
      <c r="F19" s="37"/>
      <c r="G19" s="33"/>
    </row>
    <row r="20" spans="1:7" x14ac:dyDescent="0.2">
      <c r="A20" s="30"/>
      <c r="B20" s="31" t="s">
        <v>310</v>
      </c>
      <c r="C20" s="31"/>
      <c r="D20" s="35">
        <v>1110</v>
      </c>
      <c r="E20" s="31"/>
      <c r="F20" s="37"/>
      <c r="G20" s="33"/>
    </row>
    <row r="21" spans="1:7" x14ac:dyDescent="0.2">
      <c r="A21" s="30"/>
      <c r="B21" s="31" t="s">
        <v>311</v>
      </c>
      <c r="C21" s="31"/>
      <c r="D21" s="35">
        <v>1175</v>
      </c>
      <c r="E21" s="31"/>
      <c r="F21" s="37"/>
      <c r="G21" s="33"/>
    </row>
    <row r="22" spans="1:7" x14ac:dyDescent="0.2">
      <c r="A22" s="30"/>
      <c r="B22" s="9" t="s">
        <v>485</v>
      </c>
      <c r="C22" s="31"/>
      <c r="D22" s="41">
        <v>0.1</v>
      </c>
      <c r="E22" s="31"/>
      <c r="F22" s="37"/>
      <c r="G22" s="33"/>
    </row>
    <row r="23" spans="1:7" x14ac:dyDescent="0.2">
      <c r="A23" s="30"/>
      <c r="B23" s="31"/>
      <c r="C23" s="31"/>
      <c r="D23" s="115"/>
      <c r="E23" s="31"/>
      <c r="F23" s="37"/>
      <c r="G23" s="33"/>
    </row>
    <row r="24" spans="1:7" x14ac:dyDescent="0.2">
      <c r="A24" s="30"/>
      <c r="B24" s="31" t="s">
        <v>312</v>
      </c>
      <c r="C24" s="31"/>
      <c r="D24" s="14" t="s">
        <v>280</v>
      </c>
      <c r="E24" s="31"/>
      <c r="F24" s="14" t="s">
        <v>281</v>
      </c>
      <c r="G24" s="33"/>
    </row>
    <row r="25" spans="1:7" x14ac:dyDescent="0.2">
      <c r="A25" s="30"/>
      <c r="B25" s="31" t="s">
        <v>313</v>
      </c>
      <c r="C25" s="31"/>
      <c r="D25" s="115">
        <v>1200</v>
      </c>
      <c r="E25" s="235"/>
      <c r="F25" s="115">
        <v>1200</v>
      </c>
      <c r="G25" s="33"/>
    </row>
    <row r="26" spans="1:7" x14ac:dyDescent="0.2">
      <c r="A26" s="30"/>
      <c r="B26" s="31" t="s">
        <v>282</v>
      </c>
      <c r="C26" s="31"/>
      <c r="D26" s="16">
        <v>0.03</v>
      </c>
      <c r="E26" s="31"/>
      <c r="F26" s="16">
        <v>2.4E-2</v>
      </c>
      <c r="G26" s="33"/>
    </row>
    <row r="27" spans="1:7" x14ac:dyDescent="0.2">
      <c r="A27" s="30"/>
      <c r="B27" s="31"/>
      <c r="C27" s="31"/>
      <c r="D27" s="40"/>
      <c r="E27" s="31"/>
      <c r="F27" s="37"/>
      <c r="G27" s="33"/>
    </row>
    <row r="28" spans="1:7" x14ac:dyDescent="0.2">
      <c r="A28" s="30"/>
      <c r="B28" s="31"/>
      <c r="C28" s="31"/>
      <c r="D28" s="14" t="s">
        <v>272</v>
      </c>
      <c r="E28" s="31"/>
      <c r="F28" s="14" t="s">
        <v>322</v>
      </c>
      <c r="G28" s="33"/>
    </row>
    <row r="29" spans="1:7" x14ac:dyDescent="0.2">
      <c r="A29" s="30"/>
      <c r="B29" s="31" t="s">
        <v>13</v>
      </c>
      <c r="C29" s="31"/>
      <c r="D29" s="16">
        <v>0.04</v>
      </c>
      <c r="E29" s="31"/>
      <c r="F29" s="16">
        <v>0.16</v>
      </c>
      <c r="G29" s="33"/>
    </row>
    <row r="30" spans="1:7" x14ac:dyDescent="0.2">
      <c r="A30" s="30"/>
      <c r="B30" s="31" t="s">
        <v>14</v>
      </c>
      <c r="C30" s="31"/>
      <c r="D30" s="188">
        <f>0.02</f>
        <v>0.02</v>
      </c>
      <c r="E30" s="31"/>
      <c r="F30" s="188">
        <f>0.02</f>
        <v>0.02</v>
      </c>
      <c r="G30" s="33"/>
    </row>
    <row r="31" spans="1:7" x14ac:dyDescent="0.2">
      <c r="A31" s="30"/>
      <c r="B31" s="31" t="s">
        <v>15</v>
      </c>
      <c r="C31" s="31"/>
      <c r="D31" s="152">
        <f>D29+D30</f>
        <v>0.06</v>
      </c>
      <c r="E31" s="31"/>
      <c r="F31" s="152">
        <f>F29+F30</f>
        <v>0.18</v>
      </c>
      <c r="G31" s="33"/>
    </row>
    <row r="32" spans="1:7" x14ac:dyDescent="0.2">
      <c r="A32" s="30"/>
      <c r="B32" s="31"/>
      <c r="C32" s="31"/>
      <c r="D32" s="31"/>
      <c r="E32" s="31"/>
      <c r="F32" s="16"/>
      <c r="G32" s="33"/>
    </row>
    <row r="33" spans="1:7" x14ac:dyDescent="0.2">
      <c r="A33" s="30"/>
      <c r="B33" s="13" t="s">
        <v>283</v>
      </c>
      <c r="C33" s="31"/>
      <c r="D33" s="14" t="s">
        <v>246</v>
      </c>
      <c r="E33" s="31"/>
      <c r="F33" s="14" t="s">
        <v>304</v>
      </c>
      <c r="G33" s="33"/>
    </row>
    <row r="34" spans="1:7" x14ac:dyDescent="0.2">
      <c r="A34" s="30"/>
      <c r="B34" s="31"/>
      <c r="C34" s="31"/>
      <c r="D34" s="31"/>
      <c r="E34" s="31"/>
      <c r="F34" s="32"/>
      <c r="G34" s="33"/>
    </row>
    <row r="35" spans="1:7" x14ac:dyDescent="0.2">
      <c r="A35" s="30"/>
      <c r="B35" s="44" t="s">
        <v>314</v>
      </c>
      <c r="C35" s="31"/>
      <c r="D35" s="31"/>
      <c r="E35" s="31"/>
      <c r="F35" s="32"/>
      <c r="G35" s="33"/>
    </row>
    <row r="36" spans="1:7" x14ac:dyDescent="0.2">
      <c r="A36" s="30"/>
      <c r="B36" s="44" t="s">
        <v>285</v>
      </c>
      <c r="C36" s="31"/>
      <c r="D36" s="31"/>
      <c r="E36" s="31"/>
      <c r="F36" s="32"/>
      <c r="G36" s="33"/>
    </row>
    <row r="37" spans="1:7" x14ac:dyDescent="0.2">
      <c r="A37" s="30"/>
      <c r="B37" s="47" t="s">
        <v>315</v>
      </c>
      <c r="C37" s="31"/>
      <c r="D37" s="23">
        <f>D19</f>
        <v>6500000000</v>
      </c>
      <c r="E37" s="31"/>
      <c r="F37" s="32"/>
      <c r="G37" s="33"/>
    </row>
    <row r="38" spans="1:7" x14ac:dyDescent="0.2">
      <c r="A38" s="30"/>
      <c r="B38" s="47" t="s">
        <v>38</v>
      </c>
      <c r="C38" s="31"/>
      <c r="D38" s="23">
        <f>D20</f>
        <v>1110</v>
      </c>
      <c r="E38" s="31"/>
      <c r="F38" s="32"/>
      <c r="G38" s="33"/>
    </row>
    <row r="39" spans="1:7" x14ac:dyDescent="0.2">
      <c r="A39" s="30"/>
      <c r="B39" s="47" t="s">
        <v>287</v>
      </c>
      <c r="C39" s="31"/>
      <c r="D39" s="183">
        <f>D37/D38</f>
        <v>5855855.8558558561</v>
      </c>
      <c r="E39" s="31"/>
      <c r="F39" s="47" t="s">
        <v>288</v>
      </c>
      <c r="G39" s="33"/>
    </row>
    <row r="40" spans="1:7" x14ac:dyDescent="0.2">
      <c r="A40" s="30"/>
      <c r="B40" s="47"/>
      <c r="C40" s="31"/>
      <c r="D40" s="65"/>
      <c r="E40" s="31"/>
      <c r="F40" s="47"/>
      <c r="G40" s="33"/>
    </row>
    <row r="41" spans="1:7" x14ac:dyDescent="0.2">
      <c r="A41" s="30"/>
      <c r="B41" s="47" t="s">
        <v>315</v>
      </c>
      <c r="C41" s="31"/>
      <c r="D41" s="23">
        <f>D19</f>
        <v>6500000000</v>
      </c>
      <c r="E41" s="31"/>
      <c r="F41" s="47"/>
      <c r="G41" s="33"/>
    </row>
    <row r="42" spans="1:7" x14ac:dyDescent="0.2">
      <c r="A42" s="30"/>
      <c r="B42" s="47" t="s">
        <v>39</v>
      </c>
      <c r="C42" s="31"/>
      <c r="D42" s="23">
        <f>D21</f>
        <v>1175</v>
      </c>
      <c r="E42" s="31"/>
      <c r="F42" s="47"/>
      <c r="G42" s="33"/>
    </row>
    <row r="43" spans="1:7" x14ac:dyDescent="0.2">
      <c r="A43" s="30"/>
      <c r="B43" s="47" t="s">
        <v>287</v>
      </c>
      <c r="C43" s="31"/>
      <c r="D43" s="183">
        <f>D41/D42</f>
        <v>5531914.8936170209</v>
      </c>
      <c r="E43" s="31"/>
      <c r="F43" s="47" t="s">
        <v>288</v>
      </c>
      <c r="G43" s="33"/>
    </row>
    <row r="44" spans="1:7" x14ac:dyDescent="0.2">
      <c r="A44" s="30"/>
      <c r="B44" s="31"/>
      <c r="C44" s="31"/>
      <c r="D44" s="31"/>
      <c r="E44" s="31"/>
      <c r="F44" s="47"/>
      <c r="G44" s="33"/>
    </row>
    <row r="45" spans="1:7" x14ac:dyDescent="0.2">
      <c r="A45" s="30"/>
      <c r="B45" s="70" t="s">
        <v>316</v>
      </c>
      <c r="C45" s="31"/>
      <c r="D45" s="31"/>
      <c r="E45" s="31"/>
      <c r="F45" s="47"/>
      <c r="G45" s="33"/>
    </row>
    <row r="46" spans="1:7" x14ac:dyDescent="0.2">
      <c r="A46" s="30"/>
      <c r="B46" s="70"/>
      <c r="C46" s="31"/>
      <c r="D46" s="31"/>
      <c r="E46" s="31"/>
      <c r="F46" s="47"/>
      <c r="G46" s="33"/>
    </row>
    <row r="47" spans="1:7" x14ac:dyDescent="0.2">
      <c r="A47" s="30"/>
      <c r="B47" s="47" t="s">
        <v>315</v>
      </c>
      <c r="C47" s="31"/>
      <c r="D47" s="23">
        <f>D19</f>
        <v>6500000000</v>
      </c>
      <c r="E47" s="31"/>
      <c r="F47" s="47"/>
      <c r="G47" s="33"/>
    </row>
    <row r="48" spans="1:7" x14ac:dyDescent="0.2">
      <c r="A48" s="30"/>
      <c r="B48" s="47" t="s">
        <v>317</v>
      </c>
      <c r="C48" s="31"/>
      <c r="D48" s="115">
        <f>D21</f>
        <v>1175</v>
      </c>
      <c r="E48" s="31"/>
      <c r="F48" s="47"/>
      <c r="G48" s="33"/>
    </row>
    <row r="49" spans="1:7" x14ac:dyDescent="0.2">
      <c r="A49" s="30"/>
      <c r="B49" s="47" t="s">
        <v>287</v>
      </c>
      <c r="C49" s="31"/>
      <c r="D49" s="183">
        <f>D47/D48</f>
        <v>5531914.8936170209</v>
      </c>
      <c r="E49" s="31"/>
      <c r="F49" s="47" t="s">
        <v>289</v>
      </c>
      <c r="G49" s="33"/>
    </row>
    <row r="50" spans="1:7" x14ac:dyDescent="0.2">
      <c r="A50" s="30"/>
      <c r="B50" s="31"/>
      <c r="C50" s="31"/>
      <c r="D50" s="31"/>
      <c r="E50" s="31"/>
      <c r="F50" s="47"/>
      <c r="G50" s="33"/>
    </row>
    <row r="51" spans="1:7" x14ac:dyDescent="0.2">
      <c r="A51" s="30"/>
      <c r="B51" s="70" t="s">
        <v>320</v>
      </c>
      <c r="C51" s="31"/>
      <c r="D51" s="31"/>
      <c r="E51" s="31"/>
      <c r="F51" s="47"/>
      <c r="G51" s="33"/>
    </row>
    <row r="52" spans="1:7" x14ac:dyDescent="0.2">
      <c r="A52" s="30"/>
      <c r="B52" s="70"/>
      <c r="C52" s="31"/>
      <c r="D52" s="31"/>
      <c r="E52" s="31"/>
      <c r="F52" s="47"/>
      <c r="G52" s="33"/>
    </row>
    <row r="53" spans="1:7" x14ac:dyDescent="0.2">
      <c r="A53" s="30"/>
      <c r="B53" s="47" t="s">
        <v>315</v>
      </c>
      <c r="C53" s="31"/>
      <c r="D53" s="23">
        <f>D19</f>
        <v>6500000000</v>
      </c>
      <c r="E53" s="31"/>
      <c r="F53" s="47"/>
      <c r="G53" s="33"/>
    </row>
    <row r="54" spans="1:7" x14ac:dyDescent="0.2">
      <c r="A54" s="30"/>
      <c r="B54" s="47" t="s">
        <v>321</v>
      </c>
      <c r="C54" s="31"/>
      <c r="D54" s="117">
        <f>1+(F29/2)</f>
        <v>1.08</v>
      </c>
      <c r="E54" s="31"/>
      <c r="F54" s="47"/>
      <c r="G54" s="33"/>
    </row>
    <row r="55" spans="1:7" x14ac:dyDescent="0.2">
      <c r="A55" s="30"/>
      <c r="B55" s="47" t="s">
        <v>323</v>
      </c>
      <c r="C55" s="31"/>
      <c r="D55" s="48">
        <f>D53/D54</f>
        <v>6018518518.5185184</v>
      </c>
      <c r="E55" s="31"/>
      <c r="F55" s="47"/>
      <c r="G55" s="33"/>
    </row>
    <row r="56" spans="1:7" x14ac:dyDescent="0.2">
      <c r="A56" s="30"/>
      <c r="B56" s="47" t="s">
        <v>324</v>
      </c>
      <c r="C56" s="31"/>
      <c r="D56" s="48">
        <f>D20</f>
        <v>1110</v>
      </c>
      <c r="E56" s="31"/>
      <c r="F56" s="47"/>
      <c r="G56" s="33"/>
    </row>
    <row r="57" spans="1:7" x14ac:dyDescent="0.2">
      <c r="A57" s="30"/>
      <c r="B57" s="47" t="s">
        <v>293</v>
      </c>
      <c r="C57" s="31"/>
      <c r="D57" s="46">
        <f>D55/D56</f>
        <v>5422088.7554220883</v>
      </c>
      <c r="E57" s="31"/>
      <c r="F57" s="47"/>
      <c r="G57" s="33"/>
    </row>
    <row r="58" spans="1:7" x14ac:dyDescent="0.2">
      <c r="A58" s="30"/>
      <c r="B58" s="47" t="s">
        <v>294</v>
      </c>
      <c r="C58" s="31"/>
      <c r="D58" s="117">
        <f>1+(D22/2)</f>
        <v>1.05</v>
      </c>
      <c r="E58" s="31"/>
      <c r="F58" s="47"/>
      <c r="G58" s="33"/>
    </row>
    <row r="59" spans="1:7" x14ac:dyDescent="0.2">
      <c r="A59" s="30"/>
      <c r="B59" s="47" t="s">
        <v>295</v>
      </c>
      <c r="C59" s="31"/>
      <c r="D59" s="183">
        <f>D57*D58</f>
        <v>5693193.1931931926</v>
      </c>
      <c r="E59" s="31"/>
      <c r="F59" s="47" t="s">
        <v>289</v>
      </c>
      <c r="G59" s="33"/>
    </row>
    <row r="60" spans="1:7" x14ac:dyDescent="0.2">
      <c r="A60" s="30"/>
      <c r="B60" s="31"/>
      <c r="C60" s="31"/>
      <c r="D60" s="31"/>
      <c r="E60" s="31"/>
      <c r="F60" s="32"/>
      <c r="G60" s="33"/>
    </row>
    <row r="61" spans="1:7" x14ac:dyDescent="0.2">
      <c r="A61" s="30"/>
      <c r="B61" s="70" t="s">
        <v>325</v>
      </c>
      <c r="C61" s="31"/>
      <c r="D61" s="142"/>
      <c r="E61" s="142"/>
      <c r="F61" s="143"/>
      <c r="G61" s="33"/>
    </row>
    <row r="62" spans="1:7" x14ac:dyDescent="0.2">
      <c r="A62" s="30"/>
      <c r="B62" s="70"/>
      <c r="C62" s="31"/>
      <c r="D62" s="14" t="s">
        <v>243</v>
      </c>
      <c r="E62" s="31"/>
      <c r="F62" s="14" t="s">
        <v>244</v>
      </c>
      <c r="G62" s="33"/>
    </row>
    <row r="63" spans="1:7" x14ac:dyDescent="0.2">
      <c r="A63" s="30"/>
      <c r="B63" s="47" t="s">
        <v>298</v>
      </c>
      <c r="C63" s="31"/>
      <c r="D63" s="23">
        <f>D19</f>
        <v>6500000000</v>
      </c>
      <c r="E63" s="31"/>
      <c r="F63" s="32"/>
      <c r="G63" s="33"/>
    </row>
    <row r="64" spans="1:7" x14ac:dyDescent="0.2">
      <c r="A64" s="30"/>
      <c r="B64" s="47" t="s">
        <v>324</v>
      </c>
      <c r="C64" s="31"/>
      <c r="D64" s="139">
        <f>D20</f>
        <v>1110</v>
      </c>
      <c r="E64" s="31"/>
      <c r="F64" s="139">
        <v>1300</v>
      </c>
      <c r="G64" s="33"/>
    </row>
    <row r="65" spans="1:7" x14ac:dyDescent="0.2">
      <c r="A65" s="30"/>
      <c r="B65" s="47" t="s">
        <v>326</v>
      </c>
      <c r="C65" s="31"/>
      <c r="D65" s="118">
        <f>D26</f>
        <v>0.03</v>
      </c>
      <c r="E65" s="31"/>
      <c r="F65" s="32"/>
      <c r="G65" s="33"/>
    </row>
    <row r="66" spans="1:7" x14ac:dyDescent="0.2">
      <c r="A66" s="30"/>
      <c r="B66" s="47" t="s">
        <v>300</v>
      </c>
      <c r="C66" s="31"/>
      <c r="D66" s="46">
        <f>(D63/D64)*D65</f>
        <v>175675.67567567568</v>
      </c>
      <c r="E66" s="31"/>
      <c r="F66" s="32"/>
      <c r="G66" s="33"/>
    </row>
    <row r="67" spans="1:7" x14ac:dyDescent="0.2">
      <c r="A67" s="30"/>
      <c r="B67" s="31"/>
      <c r="C67" s="31"/>
      <c r="D67" s="31"/>
      <c r="E67" s="31"/>
      <c r="F67" s="32"/>
      <c r="G67" s="33"/>
    </row>
    <row r="68" spans="1:7" x14ac:dyDescent="0.2">
      <c r="A68" s="30"/>
      <c r="B68" s="47" t="s">
        <v>245</v>
      </c>
      <c r="C68" s="31"/>
      <c r="D68" s="46">
        <f>D63/D25</f>
        <v>5416666.666666667</v>
      </c>
      <c r="E68" s="31"/>
      <c r="F68" s="140">
        <f>D63/F64</f>
        <v>5000000</v>
      </c>
      <c r="G68" s="33"/>
    </row>
    <row r="69" spans="1:7" x14ac:dyDescent="0.2">
      <c r="A69" s="30"/>
      <c r="B69" s="47" t="s">
        <v>327</v>
      </c>
      <c r="C69" s="31"/>
      <c r="D69" s="119">
        <f>D66*(1+(D22/2))</f>
        <v>184459.45945945947</v>
      </c>
      <c r="E69" s="31"/>
      <c r="F69" s="141">
        <f>D69</f>
        <v>184459.45945945947</v>
      </c>
      <c r="G69" s="33"/>
    </row>
    <row r="70" spans="1:7" x14ac:dyDescent="0.2">
      <c r="A70" s="30"/>
      <c r="B70" s="47" t="s">
        <v>301</v>
      </c>
      <c r="C70" s="31"/>
      <c r="D70" s="183">
        <f>D68+D69</f>
        <v>5601126.1261261264</v>
      </c>
      <c r="E70" s="31"/>
      <c r="F70" s="183">
        <f>F68+F69</f>
        <v>5184459.4594594594</v>
      </c>
      <c r="G70" s="33"/>
    </row>
    <row r="71" spans="1:7" x14ac:dyDescent="0.2">
      <c r="A71" s="30"/>
      <c r="B71" s="31"/>
      <c r="C71" s="31"/>
      <c r="D71" s="47" t="s">
        <v>303</v>
      </c>
      <c r="E71" s="31"/>
      <c r="F71" s="32"/>
      <c r="G71" s="33"/>
    </row>
    <row r="72" spans="1:7" x14ac:dyDescent="0.2">
      <c r="A72" s="30"/>
      <c r="B72" s="31"/>
      <c r="C72" s="31"/>
      <c r="D72" s="47"/>
      <c r="E72" s="31"/>
      <c r="F72" s="32"/>
      <c r="G72" s="33"/>
    </row>
    <row r="73" spans="1:7" x14ac:dyDescent="0.2">
      <c r="A73" s="30"/>
      <c r="B73" s="349" t="s">
        <v>486</v>
      </c>
      <c r="C73" s="350"/>
      <c r="D73" s="350"/>
      <c r="E73" s="350"/>
      <c r="F73" s="350"/>
      <c r="G73" s="33"/>
    </row>
    <row r="74" spans="1:7" x14ac:dyDescent="0.2">
      <c r="A74" s="30"/>
      <c r="B74" s="350"/>
      <c r="C74" s="350"/>
      <c r="D74" s="350"/>
      <c r="E74" s="350"/>
      <c r="F74" s="350"/>
      <c r="G74" s="33"/>
    </row>
    <row r="75" spans="1:7" x14ac:dyDescent="0.2">
      <c r="A75" s="30"/>
      <c r="B75" s="350"/>
      <c r="C75" s="350"/>
      <c r="D75" s="350"/>
      <c r="E75" s="350"/>
      <c r="F75" s="350"/>
      <c r="G75" s="33"/>
    </row>
    <row r="76" spans="1:7" x14ac:dyDescent="0.2">
      <c r="A76" s="30"/>
      <c r="B76" s="350"/>
      <c r="C76" s="350"/>
      <c r="D76" s="350"/>
      <c r="E76" s="350"/>
      <c r="F76" s="350"/>
      <c r="G76" s="33"/>
    </row>
    <row r="77" spans="1:7" ht="13.5" thickBot="1" x14ac:dyDescent="0.25">
      <c r="A77" s="55"/>
      <c r="B77" s="56"/>
      <c r="C77" s="56"/>
      <c r="D77" s="56"/>
      <c r="E77" s="56"/>
      <c r="F77" s="57"/>
      <c r="G77" s="58"/>
    </row>
  </sheetData>
  <mergeCells count="4">
    <mergeCell ref="B2:F2"/>
    <mergeCell ref="B12:F14"/>
    <mergeCell ref="B73:F76"/>
    <mergeCell ref="B4:F10"/>
  </mergeCells>
  <phoneticPr fontId="0" type="noConversion"/>
  <printOptions horizontalCentered="1"/>
  <pageMargins left="0.5" right="0.5" top="0.75" bottom="0.75" header="0.5" footer="0.5"/>
  <pageSetup scale="69" orientation="portrait" r:id="rId1"/>
  <headerFooter alignWithMargins="0">
    <oddHeader>&amp;R&amp;"Times New Roman,Bold"111</oddHeader>
  </headerFooter>
  <ignoredErrors>
    <ignoredError sqref="D5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workbookViewId="0"/>
  </sheetViews>
  <sheetFormatPr defaultColWidth="9.33203125" defaultRowHeight="12.75" x14ac:dyDescent="0.2"/>
  <cols>
    <col min="1" max="1" width="3.1640625" style="4" customWidth="1"/>
    <col min="2" max="2" width="63.83203125" style="4" customWidth="1"/>
    <col min="3" max="3" width="3.1640625" style="4" customWidth="1"/>
    <col min="4" max="4" width="18.83203125" style="4" customWidth="1"/>
    <col min="5" max="5" width="2.83203125" style="4" customWidth="1"/>
    <col min="6" max="16384" width="9.33203125" style="4"/>
  </cols>
  <sheetData>
    <row r="1" spans="1:5" x14ac:dyDescent="0.2">
      <c r="A1" s="27"/>
      <c r="B1" s="28"/>
      <c r="C1" s="28"/>
      <c r="D1" s="28"/>
      <c r="E1" s="29"/>
    </row>
    <row r="2" spans="1:5" ht="18.75" x14ac:dyDescent="0.2">
      <c r="A2" s="5"/>
      <c r="B2" s="342" t="s">
        <v>559</v>
      </c>
      <c r="C2" s="342"/>
      <c r="D2" s="342"/>
      <c r="E2" s="6"/>
    </row>
    <row r="3" spans="1:5" x14ac:dyDescent="0.2">
      <c r="A3" s="7"/>
      <c r="B3" s="8"/>
      <c r="C3" s="9"/>
      <c r="D3" s="10"/>
      <c r="E3" s="11"/>
    </row>
    <row r="4" spans="1:5" x14ac:dyDescent="0.2">
      <c r="A4" s="7"/>
      <c r="B4" s="353" t="s">
        <v>238</v>
      </c>
      <c r="C4" s="354"/>
      <c r="D4" s="354"/>
      <c r="E4" s="11"/>
    </row>
    <row r="5" spans="1:5" x14ac:dyDescent="0.2">
      <c r="A5" s="7"/>
      <c r="B5" s="354"/>
      <c r="C5" s="354"/>
      <c r="D5" s="354"/>
      <c r="E5" s="11"/>
    </row>
    <row r="6" spans="1:5" x14ac:dyDescent="0.2">
      <c r="A6" s="7"/>
      <c r="B6" s="354"/>
      <c r="C6" s="354"/>
      <c r="D6" s="354"/>
      <c r="E6" s="11"/>
    </row>
    <row r="7" spans="1:5" x14ac:dyDescent="0.2">
      <c r="A7" s="7"/>
      <c r="B7" s="354"/>
      <c r="C7" s="354"/>
      <c r="D7" s="354"/>
      <c r="E7" s="11"/>
    </row>
    <row r="8" spans="1:5" x14ac:dyDescent="0.2">
      <c r="A8" s="7"/>
      <c r="B8" s="354"/>
      <c r="C8" s="354"/>
      <c r="D8" s="354"/>
      <c r="E8" s="11"/>
    </row>
    <row r="9" spans="1:5" x14ac:dyDescent="0.2">
      <c r="A9" s="7"/>
      <c r="B9" s="354"/>
      <c r="C9" s="354"/>
      <c r="D9" s="354"/>
      <c r="E9" s="11"/>
    </row>
    <row r="10" spans="1:5" x14ac:dyDescent="0.2">
      <c r="A10" s="7"/>
      <c r="B10" s="354"/>
      <c r="C10" s="354"/>
      <c r="D10" s="354"/>
      <c r="E10" s="11"/>
    </row>
    <row r="11" spans="1:5" x14ac:dyDescent="0.2">
      <c r="A11" s="7"/>
      <c r="B11" s="354"/>
      <c r="C11" s="354"/>
      <c r="D11" s="354"/>
      <c r="E11" s="11"/>
    </row>
    <row r="12" spans="1:5" x14ac:dyDescent="0.2">
      <c r="A12" s="7"/>
      <c r="B12" s="354"/>
      <c r="C12" s="354"/>
      <c r="D12" s="354"/>
      <c r="E12" s="11"/>
    </row>
    <row r="13" spans="1:5" x14ac:dyDescent="0.2">
      <c r="A13" s="7"/>
      <c r="B13" s="8"/>
      <c r="C13" s="9"/>
      <c r="D13" s="10"/>
      <c r="E13" s="11"/>
    </row>
    <row r="14" spans="1:5" x14ac:dyDescent="0.2">
      <c r="A14" s="7"/>
      <c r="B14" s="13" t="s">
        <v>247</v>
      </c>
      <c r="C14" s="9"/>
      <c r="D14" s="14" t="s">
        <v>389</v>
      </c>
      <c r="E14" s="11"/>
    </row>
    <row r="15" spans="1:5" x14ac:dyDescent="0.2">
      <c r="A15" s="7"/>
      <c r="B15" s="9" t="s">
        <v>106</v>
      </c>
      <c r="C15" s="9"/>
      <c r="D15" s="15">
        <v>50000000</v>
      </c>
      <c r="E15" s="11"/>
    </row>
    <row r="16" spans="1:5" x14ac:dyDescent="0.2">
      <c r="A16" s="7"/>
      <c r="B16" s="9" t="s">
        <v>107</v>
      </c>
      <c r="C16" s="9"/>
      <c r="D16" s="16">
        <v>8.4000000000000005E-2</v>
      </c>
      <c r="E16" s="11"/>
    </row>
    <row r="17" spans="1:5" x14ac:dyDescent="0.2">
      <c r="A17" s="7"/>
      <c r="B17" s="9" t="s">
        <v>108</v>
      </c>
      <c r="C17" s="9"/>
      <c r="D17" s="17">
        <v>25</v>
      </c>
      <c r="E17" s="11"/>
    </row>
    <row r="18" spans="1:5" x14ac:dyDescent="0.2">
      <c r="A18" s="7"/>
      <c r="B18" s="9" t="s">
        <v>109</v>
      </c>
      <c r="C18" s="9"/>
      <c r="D18" s="17">
        <v>42</v>
      </c>
      <c r="E18" s="11"/>
    </row>
    <row r="19" spans="1:5" x14ac:dyDescent="0.2">
      <c r="A19" s="7"/>
      <c r="B19" s="9"/>
      <c r="C19" s="9"/>
      <c r="D19" s="16"/>
      <c r="E19" s="11"/>
    </row>
    <row r="20" spans="1:5" x14ac:dyDescent="0.2">
      <c r="A20" s="7"/>
      <c r="B20" s="13" t="s">
        <v>110</v>
      </c>
      <c r="C20" s="9"/>
      <c r="D20" s="16"/>
      <c r="E20" s="11"/>
    </row>
    <row r="21" spans="1:5" x14ac:dyDescent="0.2">
      <c r="A21" s="7"/>
      <c r="B21" s="9"/>
      <c r="C21" s="9"/>
      <c r="D21" s="16"/>
      <c r="E21" s="11"/>
    </row>
    <row r="22" spans="1:5" x14ac:dyDescent="0.2">
      <c r="A22" s="7"/>
      <c r="B22" s="9" t="s">
        <v>116</v>
      </c>
      <c r="C22" s="9"/>
      <c r="D22" s="16"/>
      <c r="E22" s="11"/>
    </row>
    <row r="23" spans="1:5" x14ac:dyDescent="0.2">
      <c r="A23" s="7"/>
      <c r="B23" s="9" t="s">
        <v>117</v>
      </c>
      <c r="C23" s="9"/>
      <c r="D23" s="16"/>
      <c r="E23" s="11"/>
    </row>
    <row r="24" spans="1:5" x14ac:dyDescent="0.2">
      <c r="A24" s="7"/>
      <c r="B24" s="9"/>
      <c r="C24" s="9"/>
      <c r="D24" s="16"/>
      <c r="E24" s="11"/>
    </row>
    <row r="25" spans="1:5" x14ac:dyDescent="0.2">
      <c r="A25" s="7"/>
      <c r="B25" s="18" t="s">
        <v>118</v>
      </c>
      <c r="C25" s="9"/>
      <c r="D25" s="16"/>
      <c r="E25" s="11"/>
    </row>
    <row r="26" spans="1:5" x14ac:dyDescent="0.2">
      <c r="A26" s="7"/>
      <c r="B26" s="9" t="s">
        <v>111</v>
      </c>
      <c r="C26" s="9"/>
      <c r="D26" s="19">
        <f>D15</f>
        <v>50000000</v>
      </c>
      <c r="E26" s="11"/>
    </row>
    <row r="27" spans="1:5" x14ac:dyDescent="0.2">
      <c r="A27" s="7"/>
      <c r="B27" s="9" t="s">
        <v>113</v>
      </c>
      <c r="C27" s="9"/>
      <c r="D27" s="20">
        <f>D15*D16</f>
        <v>4200000</v>
      </c>
      <c r="E27" s="11"/>
    </row>
    <row r="28" spans="1:5" x14ac:dyDescent="0.2">
      <c r="A28" s="7"/>
      <c r="B28" s="9" t="s">
        <v>112</v>
      </c>
      <c r="C28" s="9"/>
      <c r="D28" s="19">
        <f>D26+D27</f>
        <v>54200000</v>
      </c>
      <c r="E28" s="11"/>
    </row>
    <row r="29" spans="1:5" x14ac:dyDescent="0.2">
      <c r="A29" s="7"/>
      <c r="B29" s="9"/>
      <c r="C29" s="9"/>
      <c r="D29" s="21"/>
      <c r="E29" s="11"/>
    </row>
    <row r="30" spans="1:5" x14ac:dyDescent="0.2">
      <c r="A30" s="7"/>
      <c r="B30" s="9" t="s">
        <v>114</v>
      </c>
      <c r="C30" s="9"/>
      <c r="D30" s="22">
        <f>D17</f>
        <v>25</v>
      </c>
      <c r="E30" s="11"/>
    </row>
    <row r="31" spans="1:5" x14ac:dyDescent="0.2">
      <c r="A31" s="7"/>
      <c r="B31" s="9" t="s">
        <v>115</v>
      </c>
      <c r="C31" s="9"/>
      <c r="D31" s="23">
        <f>D28*D30</f>
        <v>1355000000</v>
      </c>
      <c r="E31" s="11"/>
    </row>
    <row r="32" spans="1:5" x14ac:dyDescent="0.2">
      <c r="A32" s="7"/>
      <c r="B32" s="9" t="s">
        <v>119</v>
      </c>
      <c r="C32" s="9"/>
      <c r="D32" s="20">
        <f>D15*D17</f>
        <v>1250000000</v>
      </c>
      <c r="E32" s="11"/>
    </row>
    <row r="33" spans="1:5" x14ac:dyDescent="0.2">
      <c r="A33" s="7"/>
      <c r="B33" s="9" t="s">
        <v>120</v>
      </c>
      <c r="C33" s="9"/>
      <c r="D33" s="23">
        <f>D31-D32</f>
        <v>105000000</v>
      </c>
      <c r="E33" s="11"/>
    </row>
    <row r="34" spans="1:5" x14ac:dyDescent="0.2">
      <c r="A34" s="7"/>
      <c r="B34" s="9"/>
      <c r="C34" s="9"/>
      <c r="D34" s="16"/>
      <c r="E34" s="11"/>
    </row>
    <row r="35" spans="1:5" x14ac:dyDescent="0.2">
      <c r="A35" s="7"/>
      <c r="B35" s="18" t="s">
        <v>121</v>
      </c>
      <c r="C35" s="9"/>
      <c r="D35" s="16"/>
      <c r="E35" s="11"/>
    </row>
    <row r="36" spans="1:5" x14ac:dyDescent="0.2">
      <c r="A36" s="7"/>
      <c r="B36" s="9" t="s">
        <v>111</v>
      </c>
      <c r="C36" s="9"/>
      <c r="D36" s="19">
        <f>D15</f>
        <v>50000000</v>
      </c>
      <c r="E36" s="11"/>
    </row>
    <row r="37" spans="1:5" x14ac:dyDescent="0.2">
      <c r="A37" s="7"/>
      <c r="B37" s="9" t="s">
        <v>113</v>
      </c>
      <c r="C37" s="9"/>
      <c r="D37" s="20">
        <f>D15*D16</f>
        <v>4200000</v>
      </c>
      <c r="E37" s="11"/>
    </row>
    <row r="38" spans="1:5" x14ac:dyDescent="0.2">
      <c r="A38" s="7"/>
      <c r="B38" s="9" t="s">
        <v>112</v>
      </c>
      <c r="C38" s="9"/>
      <c r="D38" s="19">
        <f>D36+D37</f>
        <v>54200000</v>
      </c>
      <c r="E38" s="11"/>
    </row>
    <row r="39" spans="1:5" x14ac:dyDescent="0.2">
      <c r="A39" s="7"/>
      <c r="B39" s="9"/>
      <c r="C39" s="9"/>
      <c r="D39" s="21"/>
      <c r="E39" s="11"/>
    </row>
    <row r="40" spans="1:5" x14ac:dyDescent="0.2">
      <c r="A40" s="7"/>
      <c r="B40" s="9" t="s">
        <v>114</v>
      </c>
      <c r="C40" s="9"/>
      <c r="D40" s="22">
        <f>D18</f>
        <v>42</v>
      </c>
      <c r="E40" s="11"/>
    </row>
    <row r="41" spans="1:5" x14ac:dyDescent="0.2">
      <c r="A41" s="7"/>
      <c r="B41" s="9" t="s">
        <v>115</v>
      </c>
      <c r="C41" s="9"/>
      <c r="D41" s="23">
        <f>D38*D40</f>
        <v>2276400000</v>
      </c>
      <c r="E41" s="11"/>
    </row>
    <row r="42" spans="1:5" x14ac:dyDescent="0.2">
      <c r="A42" s="7"/>
      <c r="B42" s="9" t="s">
        <v>122</v>
      </c>
      <c r="C42" s="9"/>
      <c r="D42" s="20">
        <f>-D31</f>
        <v>-1355000000</v>
      </c>
      <c r="E42" s="11"/>
    </row>
    <row r="43" spans="1:5" x14ac:dyDescent="0.2">
      <c r="A43" s="7"/>
      <c r="B43" s="9" t="s">
        <v>123</v>
      </c>
      <c r="C43" s="9"/>
      <c r="D43" s="181">
        <f>D41+D42</f>
        <v>921400000</v>
      </c>
      <c r="E43" s="11"/>
    </row>
    <row r="44" spans="1:5" ht="13.5" thickBot="1" x14ac:dyDescent="0.25">
      <c r="A44" s="24"/>
      <c r="B44" s="25"/>
      <c r="C44" s="25"/>
      <c r="D44" s="25"/>
      <c r="E44" s="26"/>
    </row>
  </sheetData>
  <mergeCells count="2">
    <mergeCell ref="B4:D12"/>
    <mergeCell ref="B2:D2"/>
  </mergeCells>
  <phoneticPr fontId="0" type="noConversion"/>
  <printOptions horizontalCentered="1"/>
  <pageMargins left="0.75" right="0.75" top="1" bottom="1" header="0.5" footer="0.5"/>
  <pageSetup paperSize="2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workbookViewId="0"/>
  </sheetViews>
  <sheetFormatPr defaultRowHeight="12.75" x14ac:dyDescent="0.2"/>
  <cols>
    <col min="1" max="1" width="2.83203125" customWidth="1"/>
    <col min="2" max="2" width="56.83203125" customWidth="1"/>
    <col min="3" max="3" width="2.83203125" customWidth="1"/>
    <col min="4" max="4" width="18.83203125" customWidth="1"/>
    <col min="5" max="5" width="2.83203125" customWidth="1"/>
    <col min="6" max="6" width="12.83203125" style="3" customWidth="1"/>
    <col min="7" max="7" width="2.83203125" customWidth="1"/>
    <col min="8" max="8" width="16.83203125" style="3" customWidth="1"/>
    <col min="9" max="9" width="2.83203125" customWidth="1"/>
  </cols>
  <sheetData>
    <row r="1" spans="1:9" x14ac:dyDescent="0.2">
      <c r="A1" s="59"/>
      <c r="B1" s="60"/>
      <c r="C1" s="60"/>
      <c r="D1" s="60"/>
      <c r="E1" s="60"/>
      <c r="F1" s="61"/>
      <c r="G1" s="60"/>
      <c r="H1" s="61"/>
      <c r="I1" s="62"/>
    </row>
    <row r="2" spans="1:9" ht="18.75" x14ac:dyDescent="0.3">
      <c r="A2" s="1"/>
      <c r="B2" s="342" t="s">
        <v>560</v>
      </c>
      <c r="C2" s="342"/>
      <c r="D2" s="342"/>
      <c r="E2" s="346"/>
      <c r="F2" s="346"/>
      <c r="G2" s="346"/>
      <c r="H2" s="346"/>
      <c r="I2" s="2"/>
    </row>
    <row r="3" spans="1:9" x14ac:dyDescent="0.2">
      <c r="A3" s="30"/>
      <c r="B3" s="8"/>
      <c r="C3" s="31"/>
      <c r="D3" s="31"/>
      <c r="E3" s="31"/>
      <c r="F3" s="32"/>
      <c r="G3" s="31"/>
      <c r="H3" s="32"/>
      <c r="I3" s="33"/>
    </row>
    <row r="4" spans="1:9" x14ac:dyDescent="0.2">
      <c r="A4" s="30"/>
      <c r="B4" s="353" t="s">
        <v>462</v>
      </c>
      <c r="C4" s="354"/>
      <c r="D4" s="354"/>
      <c r="E4" s="354"/>
      <c r="F4" s="354"/>
      <c r="G4" s="354"/>
      <c r="H4" s="354"/>
      <c r="I4" s="33"/>
    </row>
    <row r="5" spans="1:9" x14ac:dyDescent="0.2">
      <c r="A5" s="30"/>
      <c r="B5" s="354"/>
      <c r="C5" s="354"/>
      <c r="D5" s="354"/>
      <c r="E5" s="354"/>
      <c r="F5" s="354"/>
      <c r="G5" s="354"/>
      <c r="H5" s="354"/>
      <c r="I5" s="33"/>
    </row>
    <row r="6" spans="1:9" x14ac:dyDescent="0.2">
      <c r="A6" s="30"/>
      <c r="B6" s="354"/>
      <c r="C6" s="354"/>
      <c r="D6" s="354"/>
      <c r="E6" s="354"/>
      <c r="F6" s="354"/>
      <c r="G6" s="354"/>
      <c r="H6" s="354"/>
      <c r="I6" s="33"/>
    </row>
    <row r="7" spans="1:9" x14ac:dyDescent="0.2">
      <c r="A7" s="30"/>
      <c r="B7" s="354"/>
      <c r="C7" s="354"/>
      <c r="D7" s="354"/>
      <c r="E7" s="354"/>
      <c r="F7" s="354"/>
      <c r="G7" s="354"/>
      <c r="H7" s="354"/>
      <c r="I7" s="33"/>
    </row>
    <row r="8" spans="1:9" x14ac:dyDescent="0.2">
      <c r="A8" s="30"/>
      <c r="B8" s="354"/>
      <c r="C8" s="354"/>
      <c r="D8" s="354"/>
      <c r="E8" s="354"/>
      <c r="F8" s="354"/>
      <c r="G8" s="354"/>
      <c r="H8" s="354"/>
      <c r="I8" s="33"/>
    </row>
    <row r="9" spans="1:9" x14ac:dyDescent="0.2">
      <c r="A9" s="30"/>
      <c r="B9" s="354"/>
      <c r="C9" s="354"/>
      <c r="D9" s="354"/>
      <c r="E9" s="354"/>
      <c r="F9" s="354"/>
      <c r="G9" s="354"/>
      <c r="H9" s="354"/>
      <c r="I9" s="33"/>
    </row>
    <row r="10" spans="1:9" x14ac:dyDescent="0.2">
      <c r="A10" s="30"/>
      <c r="B10" s="31"/>
      <c r="C10" s="31"/>
      <c r="D10" s="31"/>
      <c r="E10" s="31"/>
      <c r="F10" s="32"/>
      <c r="G10" s="31"/>
      <c r="H10" s="32"/>
      <c r="I10" s="33"/>
    </row>
    <row r="11" spans="1:9" x14ac:dyDescent="0.2">
      <c r="A11" s="30"/>
      <c r="B11" s="13" t="s">
        <v>247</v>
      </c>
      <c r="C11" s="31"/>
      <c r="D11" s="14" t="s">
        <v>246</v>
      </c>
      <c r="E11" s="31"/>
      <c r="F11" s="34"/>
      <c r="G11" s="31"/>
      <c r="H11" s="34"/>
      <c r="I11" s="33"/>
    </row>
    <row r="12" spans="1:9" x14ac:dyDescent="0.2">
      <c r="A12" s="30"/>
      <c r="B12" s="9" t="s">
        <v>189</v>
      </c>
      <c r="C12" s="31"/>
      <c r="D12" s="35">
        <v>8500000</v>
      </c>
      <c r="E12" s="31"/>
      <c r="F12" s="36"/>
      <c r="G12" s="31"/>
      <c r="H12" s="36"/>
      <c r="I12" s="33"/>
    </row>
    <row r="13" spans="1:9" x14ac:dyDescent="0.2">
      <c r="A13" s="30"/>
      <c r="B13" s="9" t="s">
        <v>190</v>
      </c>
      <c r="C13" s="31"/>
      <c r="D13" s="17">
        <v>120.6</v>
      </c>
      <c r="E13" s="31"/>
      <c r="F13" s="36"/>
      <c r="G13" s="31"/>
      <c r="H13" s="36"/>
      <c r="I13" s="33"/>
    </row>
    <row r="14" spans="1:9" x14ac:dyDescent="0.2">
      <c r="A14" s="30"/>
      <c r="B14" s="9" t="s">
        <v>191</v>
      </c>
      <c r="C14" s="31"/>
      <c r="D14" s="17">
        <v>47.75</v>
      </c>
      <c r="E14" s="31"/>
      <c r="F14" s="37"/>
      <c r="G14" s="31"/>
      <c r="H14" s="37"/>
      <c r="I14" s="33"/>
    </row>
    <row r="15" spans="1:9" x14ac:dyDescent="0.2">
      <c r="A15" s="30"/>
      <c r="B15" s="9" t="s">
        <v>192</v>
      </c>
      <c r="C15" s="31"/>
      <c r="D15" s="38">
        <f>D13/D14</f>
        <v>2.5256544502617801</v>
      </c>
      <c r="E15" s="31"/>
      <c r="F15" s="39" t="s">
        <v>88</v>
      </c>
      <c r="G15" s="31"/>
      <c r="H15" s="39"/>
      <c r="I15" s="33"/>
    </row>
    <row r="16" spans="1:9" x14ac:dyDescent="0.2">
      <c r="A16" s="30"/>
      <c r="B16" s="31" t="s">
        <v>193</v>
      </c>
      <c r="C16" s="31"/>
      <c r="D16" s="40">
        <v>2.4</v>
      </c>
      <c r="E16" s="31"/>
      <c r="F16" s="37"/>
      <c r="G16" s="31"/>
      <c r="H16" s="37"/>
      <c r="I16" s="33"/>
    </row>
    <row r="17" spans="1:9" x14ac:dyDescent="0.2">
      <c r="A17" s="30"/>
      <c r="B17" s="31" t="s">
        <v>194</v>
      </c>
      <c r="C17" s="31"/>
      <c r="D17" s="40">
        <v>2.6</v>
      </c>
      <c r="E17" s="31"/>
      <c r="F17" s="37"/>
      <c r="G17" s="31"/>
      <c r="H17" s="37"/>
      <c r="I17" s="33"/>
    </row>
    <row r="18" spans="1:9" x14ac:dyDescent="0.2">
      <c r="A18" s="30"/>
      <c r="B18" s="31" t="s">
        <v>449</v>
      </c>
      <c r="C18" s="31"/>
      <c r="D18" s="16">
        <v>0.08</v>
      </c>
      <c r="E18" s="31"/>
      <c r="F18" s="32"/>
      <c r="G18" s="31"/>
      <c r="H18" s="32"/>
      <c r="I18" s="33"/>
    </row>
    <row r="19" spans="1:9" x14ac:dyDescent="0.2">
      <c r="A19" s="30"/>
      <c r="B19" s="31" t="s">
        <v>450</v>
      </c>
      <c r="C19" s="31"/>
      <c r="D19" s="16">
        <v>1.4999999999999999E-2</v>
      </c>
      <c r="E19" s="31"/>
      <c r="F19" s="32"/>
      <c r="G19" s="31"/>
      <c r="H19" s="32"/>
      <c r="I19" s="33"/>
    </row>
    <row r="20" spans="1:9" x14ac:dyDescent="0.2">
      <c r="A20" s="30"/>
      <c r="B20" s="31" t="s">
        <v>445</v>
      </c>
      <c r="C20" s="31"/>
      <c r="D20" s="16">
        <v>4.8500000000000001E-2</v>
      </c>
      <c r="E20" s="31"/>
      <c r="F20" s="32"/>
      <c r="G20" s="31"/>
      <c r="H20" s="32"/>
      <c r="I20" s="33"/>
    </row>
    <row r="21" spans="1:9" x14ac:dyDescent="0.2">
      <c r="A21" s="30"/>
      <c r="B21" s="31" t="s">
        <v>463</v>
      </c>
      <c r="C21" s="31"/>
      <c r="D21" s="41">
        <v>0.12</v>
      </c>
      <c r="E21" s="31"/>
      <c r="F21" s="32"/>
      <c r="G21" s="31"/>
      <c r="H21" s="32"/>
      <c r="I21" s="33"/>
    </row>
    <row r="22" spans="1:9" x14ac:dyDescent="0.2">
      <c r="A22" s="30"/>
      <c r="B22" s="31"/>
      <c r="C22" s="31"/>
      <c r="D22" s="42"/>
      <c r="E22" s="31"/>
      <c r="F22" s="43" t="s">
        <v>93</v>
      </c>
      <c r="G22" s="31"/>
      <c r="H22" s="43" t="s">
        <v>394</v>
      </c>
      <c r="I22" s="33"/>
    </row>
    <row r="23" spans="1:9" x14ac:dyDescent="0.2">
      <c r="A23" s="30"/>
      <c r="B23" s="13" t="s">
        <v>430</v>
      </c>
      <c r="C23" s="31"/>
      <c r="D23" s="14" t="s">
        <v>246</v>
      </c>
      <c r="E23" s="31"/>
      <c r="F23" s="14" t="s">
        <v>94</v>
      </c>
      <c r="G23" s="31"/>
      <c r="H23" s="14" t="s">
        <v>393</v>
      </c>
      <c r="I23" s="33"/>
    </row>
    <row r="24" spans="1:9" x14ac:dyDescent="0.2">
      <c r="A24" s="30"/>
      <c r="B24" s="31"/>
      <c r="C24" s="31"/>
      <c r="D24" s="31"/>
      <c r="E24" s="31"/>
      <c r="F24" s="32"/>
      <c r="G24" s="31"/>
      <c r="H24" s="32"/>
      <c r="I24" s="33"/>
    </row>
    <row r="25" spans="1:9" x14ac:dyDescent="0.2">
      <c r="A25" s="30"/>
      <c r="B25" s="44" t="s">
        <v>95</v>
      </c>
      <c r="C25" s="31"/>
      <c r="D25" s="31"/>
      <c r="E25" s="31"/>
      <c r="F25" s="32"/>
      <c r="G25" s="31"/>
      <c r="H25" s="32"/>
      <c r="I25" s="33"/>
    </row>
    <row r="26" spans="1:9" x14ac:dyDescent="0.2">
      <c r="A26" s="30"/>
      <c r="B26" s="31"/>
      <c r="C26" s="31"/>
      <c r="D26" s="31"/>
      <c r="E26" s="31"/>
      <c r="F26" s="32"/>
      <c r="G26" s="31"/>
      <c r="H26" s="32"/>
      <c r="I26" s="33"/>
    </row>
    <row r="27" spans="1:9" x14ac:dyDescent="0.2">
      <c r="A27" s="30"/>
      <c r="B27" s="45" t="s">
        <v>89</v>
      </c>
      <c r="C27" s="31"/>
      <c r="D27" s="182">
        <f>D12/D15</f>
        <v>3365464.3449419569</v>
      </c>
      <c r="E27" s="31"/>
      <c r="F27" s="39">
        <f>D15</f>
        <v>2.5256544502617801</v>
      </c>
      <c r="G27" s="31"/>
      <c r="H27" s="32" t="s">
        <v>262</v>
      </c>
      <c r="I27" s="33"/>
    </row>
    <row r="28" spans="1:9" x14ac:dyDescent="0.2">
      <c r="A28" s="30"/>
      <c r="B28" s="45"/>
      <c r="C28" s="31"/>
      <c r="D28" s="46"/>
      <c r="E28" s="31"/>
      <c r="F28" s="32"/>
      <c r="G28" s="31"/>
      <c r="H28" s="32"/>
      <c r="I28" s="33"/>
    </row>
    <row r="29" spans="1:9" x14ac:dyDescent="0.2">
      <c r="A29" s="30"/>
      <c r="B29" s="45" t="s">
        <v>90</v>
      </c>
      <c r="C29" s="31"/>
      <c r="D29" s="182">
        <f>D12/D16</f>
        <v>3541666.666666667</v>
      </c>
      <c r="E29" s="31"/>
      <c r="F29" s="39">
        <f>D16</f>
        <v>2.4</v>
      </c>
      <c r="G29" s="31"/>
      <c r="H29" s="32" t="s">
        <v>262</v>
      </c>
      <c r="I29" s="33"/>
    </row>
    <row r="30" spans="1:9" x14ac:dyDescent="0.2">
      <c r="A30" s="30"/>
      <c r="B30" s="45"/>
      <c r="C30" s="31"/>
      <c r="D30" s="31"/>
      <c r="E30" s="31"/>
      <c r="F30" s="32"/>
      <c r="G30" s="31"/>
      <c r="H30" s="32"/>
      <c r="I30" s="33"/>
    </row>
    <row r="31" spans="1:9" x14ac:dyDescent="0.2">
      <c r="A31" s="30"/>
      <c r="B31" s="45" t="s">
        <v>91</v>
      </c>
      <c r="C31" s="31"/>
      <c r="D31" s="182">
        <f>D12/D17</f>
        <v>3269230.769230769</v>
      </c>
      <c r="E31" s="31"/>
      <c r="F31" s="39">
        <f>D17</f>
        <v>2.6</v>
      </c>
      <c r="G31" s="31"/>
      <c r="H31" s="32" t="s">
        <v>262</v>
      </c>
      <c r="I31" s="33"/>
    </row>
    <row r="32" spans="1:9" x14ac:dyDescent="0.2">
      <c r="A32" s="30"/>
      <c r="B32" s="31"/>
      <c r="C32" s="31"/>
      <c r="D32" s="31"/>
      <c r="E32" s="31"/>
      <c r="F32" s="32"/>
      <c r="G32" s="31"/>
      <c r="H32" s="32"/>
      <c r="I32" s="33"/>
    </row>
    <row r="33" spans="1:9" x14ac:dyDescent="0.2">
      <c r="A33" s="30"/>
      <c r="B33" s="44" t="s">
        <v>446</v>
      </c>
      <c r="C33" s="31"/>
      <c r="D33" s="31"/>
      <c r="E33" s="31"/>
      <c r="F33" s="32"/>
      <c r="G33" s="31"/>
      <c r="H33" s="32"/>
      <c r="I33" s="33"/>
    </row>
    <row r="34" spans="1:9" x14ac:dyDescent="0.2">
      <c r="A34" s="30"/>
      <c r="B34" s="31"/>
      <c r="C34" s="31"/>
      <c r="D34" s="31"/>
      <c r="E34" s="31"/>
      <c r="F34" s="32"/>
      <c r="G34" s="31"/>
      <c r="H34" s="32"/>
      <c r="I34" s="33"/>
    </row>
    <row r="35" spans="1:9" x14ac:dyDescent="0.2">
      <c r="A35" s="30"/>
      <c r="B35" s="47" t="s">
        <v>447</v>
      </c>
      <c r="C35" s="31"/>
      <c r="D35" s="182">
        <f>D12/D16</f>
        <v>3541666.666666667</v>
      </c>
      <c r="E35" s="31"/>
      <c r="F35" s="39">
        <f>D16</f>
        <v>2.4</v>
      </c>
      <c r="G35" s="31"/>
      <c r="H35" s="32" t="s">
        <v>263</v>
      </c>
      <c r="I35" s="33"/>
    </row>
    <row r="36" spans="1:9" x14ac:dyDescent="0.2">
      <c r="A36" s="30"/>
      <c r="B36" s="31"/>
      <c r="C36" s="31"/>
      <c r="D36" s="31"/>
      <c r="E36" s="31"/>
      <c r="F36" s="32"/>
      <c r="G36" s="31"/>
      <c r="H36" s="32"/>
      <c r="I36" s="33"/>
    </row>
    <row r="37" spans="1:9" x14ac:dyDescent="0.2">
      <c r="A37" s="30"/>
      <c r="B37" s="44" t="s">
        <v>438</v>
      </c>
      <c r="C37" s="31"/>
      <c r="D37" s="31"/>
      <c r="E37" s="31"/>
      <c r="F37" s="32"/>
      <c r="G37" s="31"/>
      <c r="H37" s="32"/>
      <c r="I37" s="33"/>
    </row>
    <row r="38" spans="1:9" x14ac:dyDescent="0.2">
      <c r="A38" s="30"/>
      <c r="B38" s="47" t="s">
        <v>195</v>
      </c>
      <c r="C38" s="31"/>
      <c r="D38" s="48">
        <f>D12</f>
        <v>8500000</v>
      </c>
      <c r="E38" s="31"/>
      <c r="F38" s="32"/>
      <c r="G38" s="31"/>
      <c r="H38" s="32"/>
      <c r="I38" s="33"/>
    </row>
    <row r="39" spans="1:9" x14ac:dyDescent="0.2">
      <c r="A39" s="30"/>
      <c r="B39" s="47" t="s">
        <v>448</v>
      </c>
      <c r="C39" s="31"/>
      <c r="D39" s="49">
        <f>1/(1+(D19*180/360))</f>
        <v>0.99255583126550861</v>
      </c>
      <c r="E39" s="31"/>
      <c r="F39" s="32"/>
      <c r="G39" s="31"/>
      <c r="H39" s="32"/>
      <c r="I39" s="33"/>
    </row>
    <row r="40" spans="1:9" x14ac:dyDescent="0.2">
      <c r="A40" s="30"/>
      <c r="B40" s="47" t="s">
        <v>196</v>
      </c>
      <c r="C40" s="31"/>
      <c r="D40" s="48">
        <f>D38*D39</f>
        <v>8436724.5657568239</v>
      </c>
      <c r="E40" s="31"/>
      <c r="F40" s="32"/>
      <c r="G40" s="31"/>
      <c r="H40" s="32"/>
      <c r="I40" s="33"/>
    </row>
    <row r="41" spans="1:9" x14ac:dyDescent="0.2">
      <c r="A41" s="30"/>
      <c r="B41" s="47"/>
      <c r="C41" s="31"/>
      <c r="D41" s="48"/>
      <c r="E41" s="31"/>
      <c r="F41" s="32"/>
      <c r="G41" s="31"/>
      <c r="H41" s="32"/>
      <c r="I41" s="33"/>
    </row>
    <row r="42" spans="1:9" x14ac:dyDescent="0.2">
      <c r="A42" s="30"/>
      <c r="B42" s="47" t="s">
        <v>197</v>
      </c>
      <c r="C42" s="31"/>
      <c r="D42" s="21">
        <f>D15</f>
        <v>2.5256544502617801</v>
      </c>
      <c r="E42" s="31"/>
      <c r="F42" s="32"/>
      <c r="G42" s="31"/>
      <c r="H42" s="32"/>
      <c r="I42" s="33"/>
    </row>
    <row r="43" spans="1:9" x14ac:dyDescent="0.2">
      <c r="A43" s="30"/>
      <c r="B43" s="47" t="s">
        <v>451</v>
      </c>
      <c r="C43" s="31"/>
      <c r="D43" s="48">
        <f>D40/D42</f>
        <v>3340411.2604882945</v>
      </c>
      <c r="E43" s="31"/>
      <c r="F43" s="32"/>
      <c r="G43" s="31"/>
      <c r="H43" s="32"/>
      <c r="I43" s="33"/>
    </row>
    <row r="44" spans="1:9" x14ac:dyDescent="0.2">
      <c r="A44" s="30"/>
      <c r="B44" s="47" t="s">
        <v>551</v>
      </c>
      <c r="C44" s="31"/>
      <c r="D44" s="21">
        <f>1+(D21*180/360)</f>
        <v>1.06</v>
      </c>
      <c r="E44" s="31"/>
      <c r="F44" s="233"/>
      <c r="G44" s="31"/>
      <c r="H44" s="32"/>
      <c r="I44" s="33"/>
    </row>
    <row r="45" spans="1:9" x14ac:dyDescent="0.2">
      <c r="A45" s="30"/>
      <c r="B45" s="47" t="s">
        <v>452</v>
      </c>
      <c r="C45" s="31"/>
      <c r="D45" s="182">
        <f>D43*D44</f>
        <v>3540835.9361175923</v>
      </c>
      <c r="E45" s="31"/>
      <c r="F45" s="32"/>
      <c r="G45" s="31"/>
      <c r="H45" s="32" t="s">
        <v>263</v>
      </c>
      <c r="I45" s="33"/>
    </row>
    <row r="46" spans="1:9" x14ac:dyDescent="0.2">
      <c r="A46" s="30"/>
      <c r="B46" s="47"/>
      <c r="C46" s="31"/>
      <c r="D46" s="50"/>
      <c r="E46" s="31"/>
      <c r="F46" s="32"/>
      <c r="G46" s="31"/>
      <c r="H46" s="32"/>
      <c r="I46" s="33"/>
    </row>
    <row r="47" spans="1:9" x14ac:dyDescent="0.2">
      <c r="A47" s="30"/>
      <c r="B47" s="44" t="s">
        <v>453</v>
      </c>
      <c r="C47" s="31"/>
      <c r="D47" s="50"/>
      <c r="E47" s="31"/>
      <c r="F47" s="32"/>
      <c r="G47" s="31"/>
      <c r="H47" s="32"/>
      <c r="I47" s="33"/>
    </row>
    <row r="48" spans="1:9" x14ac:dyDescent="0.2">
      <c r="A48" s="30"/>
      <c r="B48" s="47" t="s">
        <v>195</v>
      </c>
      <c r="C48" s="31"/>
      <c r="D48" s="48">
        <f>D12</f>
        <v>8500000</v>
      </c>
      <c r="E48" s="31"/>
      <c r="F48" s="32"/>
      <c r="G48" s="31"/>
      <c r="H48" s="32"/>
      <c r="I48" s="33"/>
    </row>
    <row r="49" spans="1:9" x14ac:dyDescent="0.2">
      <c r="A49" s="30"/>
      <c r="B49" s="47" t="s">
        <v>197</v>
      </c>
      <c r="C49" s="31"/>
      <c r="D49" s="49">
        <f>D15</f>
        <v>2.5256544502617801</v>
      </c>
      <c r="E49" s="31"/>
      <c r="F49" s="32"/>
      <c r="G49" s="31"/>
      <c r="H49" s="32"/>
      <c r="I49" s="33"/>
    </row>
    <row r="50" spans="1:9" x14ac:dyDescent="0.2">
      <c r="A50" s="30"/>
      <c r="B50" s="47" t="s">
        <v>454</v>
      </c>
      <c r="C50" s="31"/>
      <c r="D50" s="48">
        <f>D48/D49</f>
        <v>3365464.3449419569</v>
      </c>
      <c r="E50" s="31"/>
      <c r="F50" s="32"/>
      <c r="G50" s="31"/>
      <c r="H50" s="32"/>
      <c r="I50" s="33"/>
    </row>
    <row r="51" spans="1:9" x14ac:dyDescent="0.2">
      <c r="A51" s="30"/>
      <c r="B51" s="47"/>
      <c r="C51" s="31"/>
      <c r="D51" s="48"/>
      <c r="E51" s="31"/>
      <c r="F51" s="32"/>
      <c r="G51" s="31"/>
      <c r="H51" s="32"/>
      <c r="I51" s="33"/>
    </row>
    <row r="52" spans="1:9" x14ac:dyDescent="0.2">
      <c r="A52" s="30"/>
      <c r="B52" s="47" t="s">
        <v>92</v>
      </c>
      <c r="C52" s="31"/>
      <c r="D52" s="48">
        <f>D20*D50</f>
        <v>163225.02072968491</v>
      </c>
      <c r="E52" s="31"/>
      <c r="F52" s="32"/>
      <c r="G52" s="31"/>
      <c r="H52" s="32"/>
      <c r="I52" s="33"/>
    </row>
    <row r="53" spans="1:9" x14ac:dyDescent="0.2">
      <c r="A53" s="30"/>
      <c r="B53" s="47" t="s">
        <v>464</v>
      </c>
      <c r="C53" s="31"/>
      <c r="D53" s="49">
        <f>1+(D21*180/360)</f>
        <v>1.06</v>
      </c>
      <c r="E53" s="31"/>
      <c r="F53" s="32"/>
      <c r="G53" s="31"/>
      <c r="H53" s="32"/>
      <c r="I53" s="33"/>
    </row>
    <row r="54" spans="1:9" x14ac:dyDescent="0.2">
      <c r="A54" s="30"/>
      <c r="B54" s="47" t="s">
        <v>456</v>
      </c>
      <c r="C54" s="31"/>
      <c r="D54" s="48">
        <f>D52*D53</f>
        <v>173018.52197346601</v>
      </c>
      <c r="E54" s="31"/>
      <c r="F54" s="32"/>
      <c r="G54" s="31"/>
      <c r="H54" s="32"/>
      <c r="I54" s="33"/>
    </row>
    <row r="55" spans="1:9" x14ac:dyDescent="0.2">
      <c r="A55" s="30"/>
      <c r="B55" s="47"/>
      <c r="C55" s="31"/>
      <c r="D55" s="48"/>
      <c r="E55" s="31"/>
      <c r="F55" s="32"/>
      <c r="G55" s="31"/>
      <c r="H55" s="32"/>
      <c r="I55" s="33"/>
    </row>
    <row r="56" spans="1:9" x14ac:dyDescent="0.2">
      <c r="A56" s="30"/>
      <c r="B56" s="47" t="s">
        <v>455</v>
      </c>
      <c r="C56" s="31"/>
      <c r="D56" s="182">
        <f>D50+D54</f>
        <v>3538482.866915423</v>
      </c>
      <c r="E56" s="31"/>
      <c r="F56" s="32"/>
      <c r="G56" s="31"/>
      <c r="H56" s="32" t="s">
        <v>263</v>
      </c>
      <c r="I56" s="33"/>
    </row>
    <row r="57" spans="1:9" x14ac:dyDescent="0.2">
      <c r="A57" s="30"/>
      <c r="B57" s="47"/>
      <c r="C57" s="31"/>
      <c r="D57" s="44"/>
      <c r="E57" s="31"/>
      <c r="F57" s="32"/>
      <c r="G57" s="31"/>
      <c r="H57" s="32"/>
      <c r="I57" s="33"/>
    </row>
    <row r="58" spans="1:9" x14ac:dyDescent="0.2">
      <c r="A58" s="30"/>
      <c r="B58" s="51" t="s">
        <v>444</v>
      </c>
      <c r="C58" s="52"/>
      <c r="D58" s="13"/>
      <c r="E58" s="52"/>
      <c r="F58" s="53"/>
      <c r="G58" s="52"/>
      <c r="H58" s="53"/>
      <c r="I58" s="33"/>
    </row>
    <row r="59" spans="1:9" x14ac:dyDescent="0.2">
      <c r="A59" s="30"/>
      <c r="B59" s="47"/>
      <c r="C59" s="31"/>
      <c r="D59" s="31"/>
      <c r="E59" s="31"/>
      <c r="F59" s="32"/>
      <c r="G59" s="31"/>
      <c r="H59" s="32"/>
      <c r="I59" s="33"/>
    </row>
    <row r="60" spans="1:9" x14ac:dyDescent="0.2">
      <c r="A60" s="30"/>
      <c r="B60" s="54" t="s">
        <v>96</v>
      </c>
      <c r="C60" s="31"/>
      <c r="D60" s="31"/>
      <c r="E60" s="31"/>
      <c r="F60" s="32"/>
      <c r="G60" s="31"/>
      <c r="H60" s="32"/>
      <c r="I60" s="33"/>
    </row>
    <row r="61" spans="1:9" ht="13.5" thickBot="1" x14ac:dyDescent="0.25">
      <c r="A61" s="55"/>
      <c r="B61" s="56"/>
      <c r="C61" s="56"/>
      <c r="D61" s="56"/>
      <c r="E61" s="56"/>
      <c r="F61" s="57"/>
      <c r="G61" s="56"/>
      <c r="H61" s="57"/>
      <c r="I61" s="58"/>
    </row>
  </sheetData>
  <mergeCells count="2">
    <mergeCell ref="B2:H2"/>
    <mergeCell ref="B4:H9"/>
  </mergeCells>
  <phoneticPr fontId="0" type="noConversion"/>
  <printOptions horizontalCentered="1"/>
  <pageMargins left="0.75" right="0.75" top="1" bottom="1" header="0.5" footer="0.5"/>
  <pageSetup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workbookViewId="0"/>
  </sheetViews>
  <sheetFormatPr defaultRowHeight="12.75" x14ac:dyDescent="0.2"/>
  <cols>
    <col min="1" max="1" width="2.83203125" customWidth="1"/>
    <col min="2" max="2" width="50.83203125" customWidth="1"/>
    <col min="3" max="3" width="2.83203125" customWidth="1"/>
    <col min="4" max="4" width="20.83203125" customWidth="1"/>
    <col min="5" max="5" width="2.83203125" customWidth="1"/>
    <col min="6" max="6" width="16.83203125" style="3" customWidth="1"/>
    <col min="7" max="7" width="2.83203125" customWidth="1"/>
  </cols>
  <sheetData>
    <row r="1" spans="1:7" x14ac:dyDescent="0.2">
      <c r="A1" s="59"/>
      <c r="B1" s="60"/>
      <c r="C1" s="60"/>
      <c r="D1" s="60"/>
      <c r="E1" s="60"/>
      <c r="F1" s="61"/>
      <c r="G1" s="62"/>
    </row>
    <row r="2" spans="1:7" ht="18.75" x14ac:dyDescent="0.3">
      <c r="A2" s="1"/>
      <c r="B2" s="342" t="s">
        <v>561</v>
      </c>
      <c r="C2" s="342"/>
      <c r="D2" s="342"/>
      <c r="E2" s="346"/>
      <c r="F2" s="346"/>
      <c r="G2" s="2"/>
    </row>
    <row r="3" spans="1:7" x14ac:dyDescent="0.2">
      <c r="A3" s="30"/>
      <c r="B3" s="8"/>
      <c r="C3" s="31"/>
      <c r="D3" s="31"/>
      <c r="E3" s="31"/>
      <c r="F3" s="32"/>
      <c r="G3" s="33"/>
    </row>
    <row r="4" spans="1:7" x14ac:dyDescent="0.2">
      <c r="A4" s="30"/>
      <c r="B4" s="355" t="s">
        <v>562</v>
      </c>
      <c r="C4" s="356"/>
      <c r="D4" s="356"/>
      <c r="E4" s="356"/>
      <c r="F4" s="356"/>
      <c r="G4" s="33"/>
    </row>
    <row r="5" spans="1:7" x14ac:dyDescent="0.2">
      <c r="A5" s="30"/>
      <c r="B5" s="356"/>
      <c r="C5" s="356"/>
      <c r="D5" s="356"/>
      <c r="E5" s="356"/>
      <c r="F5" s="356"/>
      <c r="G5" s="33"/>
    </row>
    <row r="6" spans="1:7" x14ac:dyDescent="0.2">
      <c r="A6" s="30"/>
      <c r="B6" s="356"/>
      <c r="C6" s="356"/>
      <c r="D6" s="356"/>
      <c r="E6" s="356"/>
      <c r="F6" s="356"/>
      <c r="G6" s="33"/>
    </row>
    <row r="7" spans="1:7" x14ac:dyDescent="0.2">
      <c r="A7" s="30"/>
      <c r="B7" s="356"/>
      <c r="C7" s="356"/>
      <c r="D7" s="356"/>
      <c r="E7" s="356"/>
      <c r="F7" s="356"/>
      <c r="G7" s="33"/>
    </row>
    <row r="8" spans="1:7" x14ac:dyDescent="0.2">
      <c r="A8" s="30"/>
      <c r="B8" s="356"/>
      <c r="C8" s="356"/>
      <c r="D8" s="356"/>
      <c r="E8" s="356"/>
      <c r="F8" s="356"/>
      <c r="G8" s="33"/>
    </row>
    <row r="9" spans="1:7" x14ac:dyDescent="0.2">
      <c r="A9" s="30"/>
      <c r="B9" s="356"/>
      <c r="C9" s="356"/>
      <c r="D9" s="356"/>
      <c r="E9" s="356"/>
      <c r="F9" s="356"/>
      <c r="G9" s="33"/>
    </row>
    <row r="10" spans="1:7" x14ac:dyDescent="0.2">
      <c r="A10" s="30"/>
      <c r="B10" s="356"/>
      <c r="C10" s="356"/>
      <c r="D10" s="356"/>
      <c r="E10" s="356"/>
      <c r="F10" s="356"/>
      <c r="G10" s="33"/>
    </row>
    <row r="11" spans="1:7" x14ac:dyDescent="0.2">
      <c r="A11" s="30"/>
      <c r="B11" s="356"/>
      <c r="C11" s="356"/>
      <c r="D11" s="356"/>
      <c r="E11" s="356"/>
      <c r="F11" s="356"/>
      <c r="G11" s="33"/>
    </row>
    <row r="12" spans="1:7" x14ac:dyDescent="0.2">
      <c r="A12" s="30"/>
      <c r="B12" s="356"/>
      <c r="C12" s="356"/>
      <c r="D12" s="356"/>
      <c r="E12" s="356"/>
      <c r="F12" s="356"/>
      <c r="G12" s="33"/>
    </row>
    <row r="13" spans="1:7" x14ac:dyDescent="0.2">
      <c r="A13" s="30"/>
      <c r="B13" s="31"/>
      <c r="C13" s="31"/>
      <c r="D13" s="31"/>
      <c r="E13" s="31"/>
      <c r="F13" s="32"/>
      <c r="G13" s="33"/>
    </row>
    <row r="14" spans="1:7" x14ac:dyDescent="0.2">
      <c r="A14" s="30"/>
      <c r="B14" s="13" t="s">
        <v>247</v>
      </c>
      <c r="C14" s="31"/>
      <c r="D14" s="14" t="s">
        <v>246</v>
      </c>
      <c r="E14" s="31"/>
      <c r="F14" s="14" t="s">
        <v>152</v>
      </c>
      <c r="G14" s="33"/>
    </row>
    <row r="15" spans="1:7" x14ac:dyDescent="0.2">
      <c r="A15" s="30"/>
      <c r="B15" s="9" t="s">
        <v>400</v>
      </c>
      <c r="C15" s="31"/>
      <c r="D15" s="63">
        <v>1650000000</v>
      </c>
      <c r="E15" s="31"/>
      <c r="F15" s="66">
        <f>D15/D16</f>
        <v>174603.17460317462</v>
      </c>
      <c r="G15" s="33"/>
    </row>
    <row r="16" spans="1:7" x14ac:dyDescent="0.2">
      <c r="A16" s="30"/>
      <c r="B16" s="31" t="s">
        <v>186</v>
      </c>
      <c r="C16" s="31"/>
      <c r="D16" s="35">
        <v>9450</v>
      </c>
      <c r="E16" s="31"/>
      <c r="F16" s="37"/>
      <c r="G16" s="33"/>
    </row>
    <row r="17" spans="1:7" x14ac:dyDescent="0.2">
      <c r="A17" s="30"/>
      <c r="B17" s="31" t="s">
        <v>187</v>
      </c>
      <c r="C17" s="31"/>
      <c r="D17" s="35">
        <v>9400</v>
      </c>
      <c r="E17" s="31"/>
      <c r="F17" s="37"/>
      <c r="G17" s="33"/>
    </row>
    <row r="18" spans="1:7" x14ac:dyDescent="0.2">
      <c r="A18" s="30"/>
      <c r="B18" s="31" t="s">
        <v>188</v>
      </c>
      <c r="C18" s="31"/>
      <c r="D18" s="35">
        <v>9950</v>
      </c>
      <c r="E18" s="31"/>
      <c r="F18" s="37"/>
      <c r="G18" s="33"/>
    </row>
    <row r="19" spans="1:7" x14ac:dyDescent="0.2">
      <c r="A19" s="30"/>
      <c r="B19" s="31" t="s">
        <v>401</v>
      </c>
      <c r="C19" s="31"/>
      <c r="D19" s="66">
        <v>168000</v>
      </c>
      <c r="E19" s="31"/>
      <c r="F19" s="32"/>
      <c r="G19" s="33"/>
    </row>
    <row r="20" spans="1:7" x14ac:dyDescent="0.2">
      <c r="A20" s="30"/>
      <c r="B20" s="31"/>
      <c r="C20" s="31"/>
      <c r="D20" s="64"/>
      <c r="E20" s="31"/>
      <c r="F20" s="32"/>
      <c r="G20" s="33"/>
    </row>
    <row r="21" spans="1:7" x14ac:dyDescent="0.2">
      <c r="A21" s="30"/>
      <c r="B21" s="31"/>
      <c r="C21" s="31"/>
      <c r="D21" s="16"/>
      <c r="E21" s="31"/>
      <c r="F21" s="43" t="s">
        <v>394</v>
      </c>
      <c r="G21" s="33"/>
    </row>
    <row r="22" spans="1:7" x14ac:dyDescent="0.2">
      <c r="A22" s="30"/>
      <c r="B22" s="13" t="s">
        <v>390</v>
      </c>
      <c r="C22" s="31"/>
      <c r="D22" s="14" t="s">
        <v>246</v>
      </c>
      <c r="E22" s="31"/>
      <c r="F22" s="14" t="s">
        <v>393</v>
      </c>
      <c r="G22" s="33"/>
    </row>
    <row r="23" spans="1:7" x14ac:dyDescent="0.2">
      <c r="A23" s="30"/>
      <c r="B23" s="31"/>
      <c r="C23" s="31"/>
      <c r="D23" s="31"/>
      <c r="E23" s="31"/>
      <c r="F23" s="32"/>
      <c r="G23" s="33"/>
    </row>
    <row r="24" spans="1:7" x14ac:dyDescent="0.2">
      <c r="A24" s="30"/>
      <c r="B24" s="44" t="s">
        <v>391</v>
      </c>
      <c r="C24" s="31"/>
      <c r="D24" s="31"/>
      <c r="E24" s="31"/>
      <c r="F24" s="32"/>
      <c r="G24" s="33"/>
    </row>
    <row r="25" spans="1:7" x14ac:dyDescent="0.2">
      <c r="A25" s="30"/>
      <c r="B25" s="44"/>
      <c r="C25" s="31"/>
      <c r="D25" s="31"/>
      <c r="E25" s="31"/>
      <c r="F25" s="32"/>
      <c r="G25" s="33"/>
    </row>
    <row r="26" spans="1:7" x14ac:dyDescent="0.2">
      <c r="A26" s="30"/>
      <c r="B26" s="31" t="s">
        <v>81</v>
      </c>
      <c r="C26" s="31"/>
      <c r="D26" s="31"/>
      <c r="E26" s="31"/>
      <c r="F26" s="32"/>
      <c r="G26" s="33"/>
    </row>
    <row r="27" spans="1:7" x14ac:dyDescent="0.2">
      <c r="A27" s="30"/>
      <c r="B27" s="31"/>
      <c r="C27" s="31"/>
      <c r="D27" s="31"/>
      <c r="E27" s="31"/>
      <c r="F27" s="32"/>
      <c r="G27" s="33"/>
    </row>
    <row r="28" spans="1:7" x14ac:dyDescent="0.2">
      <c r="A28" s="30"/>
      <c r="B28" s="45" t="s">
        <v>392</v>
      </c>
      <c r="C28" s="31"/>
      <c r="D28" s="184">
        <f>D15/D16</f>
        <v>174603.17460317462</v>
      </c>
      <c r="E28" s="31"/>
      <c r="F28" s="32" t="s">
        <v>262</v>
      </c>
      <c r="G28" s="33"/>
    </row>
    <row r="29" spans="1:7" x14ac:dyDescent="0.2">
      <c r="A29" s="30"/>
      <c r="B29" s="236" t="s">
        <v>548</v>
      </c>
      <c r="C29" s="31"/>
      <c r="E29" s="31"/>
      <c r="F29" s="32"/>
      <c r="G29" s="33"/>
    </row>
    <row r="30" spans="1:7" x14ac:dyDescent="0.2">
      <c r="A30" s="30"/>
      <c r="B30" s="45"/>
      <c r="C30" s="31"/>
      <c r="D30" s="46"/>
      <c r="E30" s="31"/>
      <c r="F30" s="32"/>
      <c r="G30" s="33"/>
    </row>
    <row r="31" spans="1:7" x14ac:dyDescent="0.2">
      <c r="A31" s="30"/>
      <c r="B31" s="45" t="s">
        <v>82</v>
      </c>
      <c r="C31" s="31"/>
      <c r="D31" s="184">
        <f>D15/D17</f>
        <v>175531.91489361701</v>
      </c>
      <c r="E31" s="31"/>
      <c r="F31" s="32" t="s">
        <v>262</v>
      </c>
      <c r="G31" s="33"/>
    </row>
    <row r="32" spans="1:7" x14ac:dyDescent="0.2">
      <c r="A32" s="30"/>
      <c r="B32" s="236" t="s">
        <v>549</v>
      </c>
      <c r="C32" s="31"/>
      <c r="E32" s="31"/>
      <c r="F32" s="32"/>
      <c r="G32" s="33"/>
    </row>
    <row r="33" spans="1:7" x14ac:dyDescent="0.2">
      <c r="A33" s="30"/>
      <c r="B33" s="45"/>
      <c r="C33" s="31"/>
      <c r="D33" s="31"/>
      <c r="E33" s="31"/>
      <c r="F33" s="32"/>
      <c r="G33" s="33"/>
    </row>
    <row r="34" spans="1:7" x14ac:dyDescent="0.2">
      <c r="A34" s="30"/>
      <c r="B34" s="45" t="s">
        <v>83</v>
      </c>
      <c r="C34" s="31"/>
      <c r="D34" s="184">
        <f>D15/D18</f>
        <v>165829.14572864323</v>
      </c>
      <c r="E34" s="31"/>
      <c r="F34" s="32" t="s">
        <v>262</v>
      </c>
      <c r="G34" s="33"/>
    </row>
    <row r="35" spans="1:7" x14ac:dyDescent="0.2">
      <c r="A35" s="30"/>
      <c r="B35" s="236" t="s">
        <v>550</v>
      </c>
      <c r="C35" s="31"/>
      <c r="E35" s="31"/>
      <c r="F35" s="32"/>
      <c r="G35" s="33"/>
    </row>
    <row r="36" spans="1:7" x14ac:dyDescent="0.2">
      <c r="A36" s="30"/>
      <c r="B36" s="45"/>
      <c r="C36" s="31"/>
      <c r="D36" s="65"/>
      <c r="E36" s="31"/>
      <c r="F36" s="32"/>
      <c r="G36" s="33"/>
    </row>
    <row r="37" spans="1:7" x14ac:dyDescent="0.2">
      <c r="A37" s="30"/>
      <c r="B37" s="31"/>
      <c r="C37" s="31"/>
      <c r="D37" s="31"/>
      <c r="E37" s="31"/>
      <c r="F37" s="32"/>
      <c r="G37" s="33"/>
    </row>
    <row r="38" spans="1:7" x14ac:dyDescent="0.2">
      <c r="A38" s="30"/>
      <c r="B38" s="44" t="s">
        <v>395</v>
      </c>
      <c r="C38" s="31"/>
      <c r="D38" s="31"/>
      <c r="E38" s="31"/>
      <c r="F38" s="32"/>
      <c r="G38" s="33"/>
    </row>
    <row r="39" spans="1:7" x14ac:dyDescent="0.2">
      <c r="A39" s="30"/>
      <c r="B39" s="31"/>
      <c r="C39" s="31"/>
      <c r="D39" s="31"/>
      <c r="E39" s="31"/>
      <c r="F39" s="32"/>
      <c r="G39" s="33"/>
    </row>
    <row r="40" spans="1:7" x14ac:dyDescent="0.2">
      <c r="A40" s="30"/>
      <c r="B40" s="47" t="s">
        <v>396</v>
      </c>
      <c r="C40" s="31"/>
      <c r="D40" s="184">
        <f>D15/D18</f>
        <v>165829.14572864323</v>
      </c>
      <c r="E40" s="31"/>
      <c r="F40" s="32" t="s">
        <v>263</v>
      </c>
      <c r="G40" s="33"/>
    </row>
    <row r="41" spans="1:7" x14ac:dyDescent="0.2">
      <c r="A41" s="30"/>
      <c r="B41" s="31"/>
      <c r="C41" s="31"/>
      <c r="D41" s="31"/>
      <c r="E41" s="31"/>
      <c r="F41" s="32"/>
      <c r="G41" s="33"/>
    </row>
    <row r="42" spans="1:7" x14ac:dyDescent="0.2">
      <c r="A42" s="30"/>
      <c r="B42" s="47" t="s">
        <v>405</v>
      </c>
      <c r="C42" s="31"/>
      <c r="D42" s="185">
        <f>(D16-D18)/(D18)*(360/90)</f>
        <v>-0.20100502512562815</v>
      </c>
      <c r="E42" s="31"/>
      <c r="F42" s="32"/>
      <c r="G42" s="33"/>
    </row>
    <row r="43" spans="1:7" x14ac:dyDescent="0.2">
      <c r="A43" s="30"/>
      <c r="B43" s="31"/>
      <c r="C43" s="31"/>
      <c r="D43" s="31"/>
      <c r="E43" s="31"/>
      <c r="F43" s="32"/>
      <c r="G43" s="33"/>
    </row>
    <row r="44" spans="1:7" x14ac:dyDescent="0.2">
      <c r="A44" s="30"/>
      <c r="B44" s="13" t="s">
        <v>397</v>
      </c>
      <c r="C44" s="52"/>
      <c r="D44" s="52"/>
      <c r="E44" s="52"/>
      <c r="F44" s="53"/>
      <c r="G44" s="33"/>
    </row>
    <row r="45" spans="1:7" x14ac:dyDescent="0.2">
      <c r="A45" s="30"/>
      <c r="B45" s="31"/>
      <c r="C45" s="31"/>
      <c r="D45" s="31"/>
      <c r="E45" s="31"/>
      <c r="F45" s="32"/>
      <c r="G45" s="33"/>
    </row>
    <row r="46" spans="1:7" x14ac:dyDescent="0.2">
      <c r="A46" s="30"/>
      <c r="B46" s="31" t="s">
        <v>398</v>
      </c>
      <c r="C46" s="31"/>
      <c r="D46" s="31"/>
      <c r="E46" s="31"/>
      <c r="F46" s="32"/>
      <c r="G46" s="33"/>
    </row>
    <row r="47" spans="1:7" x14ac:dyDescent="0.2">
      <c r="A47" s="30"/>
      <c r="B47" s="31" t="s">
        <v>399</v>
      </c>
      <c r="C47" s="31"/>
      <c r="D47" s="31"/>
      <c r="E47" s="31"/>
      <c r="F47" s="32"/>
      <c r="G47" s="33"/>
    </row>
    <row r="48" spans="1:7" x14ac:dyDescent="0.2">
      <c r="A48" s="30"/>
      <c r="B48" s="31" t="s">
        <v>404</v>
      </c>
      <c r="C48" s="31"/>
      <c r="D48" s="31"/>
      <c r="E48" s="31"/>
      <c r="F48" s="32"/>
      <c r="G48" s="33"/>
    </row>
    <row r="49" spans="1:7" x14ac:dyDescent="0.2">
      <c r="A49" s="30"/>
      <c r="B49" s="31"/>
      <c r="C49" s="31"/>
      <c r="D49" s="31"/>
      <c r="E49" s="31"/>
      <c r="F49" s="32"/>
      <c r="G49" s="33"/>
    </row>
    <row r="50" spans="1:7" x14ac:dyDescent="0.2">
      <c r="A50" s="30"/>
      <c r="B50" s="31" t="s">
        <v>402</v>
      </c>
      <c r="C50" s="31"/>
      <c r="D50" s="31"/>
      <c r="E50" s="31"/>
      <c r="F50" s="32"/>
      <c r="G50" s="33"/>
    </row>
    <row r="51" spans="1:7" x14ac:dyDescent="0.2">
      <c r="A51" s="30"/>
      <c r="B51" s="31" t="s">
        <v>153</v>
      </c>
      <c r="C51" s="31"/>
      <c r="D51" s="31"/>
      <c r="E51" s="31"/>
      <c r="F51" s="32"/>
      <c r="G51" s="33"/>
    </row>
    <row r="52" spans="1:7" x14ac:dyDescent="0.2">
      <c r="A52" s="30"/>
      <c r="B52" s="31" t="s">
        <v>84</v>
      </c>
      <c r="C52" s="31"/>
      <c r="D52" s="31"/>
      <c r="E52" s="31"/>
      <c r="F52" s="32"/>
      <c r="G52" s="33"/>
    </row>
    <row r="53" spans="1:7" x14ac:dyDescent="0.2">
      <c r="A53" s="30"/>
      <c r="B53" s="31"/>
      <c r="C53" s="31"/>
      <c r="D53" s="31"/>
      <c r="E53" s="31"/>
      <c r="F53" s="32"/>
      <c r="G53" s="33"/>
    </row>
    <row r="54" spans="1:7" x14ac:dyDescent="0.2">
      <c r="A54" s="30"/>
      <c r="B54" s="232" t="s">
        <v>563</v>
      </c>
      <c r="C54" s="31"/>
      <c r="D54" s="31"/>
      <c r="E54" s="31"/>
      <c r="F54" s="32"/>
      <c r="G54" s="33"/>
    </row>
    <row r="55" spans="1:7" x14ac:dyDescent="0.2">
      <c r="A55" s="30"/>
      <c r="B55" s="9" t="s">
        <v>403</v>
      </c>
      <c r="C55" s="31"/>
      <c r="D55" s="31"/>
      <c r="E55" s="31"/>
      <c r="F55" s="32"/>
      <c r="G55" s="33"/>
    </row>
    <row r="56" spans="1:7" x14ac:dyDescent="0.2">
      <c r="A56" s="30"/>
      <c r="B56" s="9" t="s">
        <v>480</v>
      </c>
      <c r="C56" s="31"/>
      <c r="D56" s="31"/>
      <c r="E56" s="31"/>
      <c r="F56" s="32"/>
      <c r="G56" s="33"/>
    </row>
    <row r="57" spans="1:7" ht="13.5" thickBot="1" x14ac:dyDescent="0.25">
      <c r="A57" s="55"/>
      <c r="B57" s="56"/>
      <c r="C57" s="56"/>
      <c r="D57" s="56"/>
      <c r="E57" s="56"/>
      <c r="F57" s="57"/>
      <c r="G57" s="58"/>
    </row>
  </sheetData>
  <mergeCells count="2">
    <mergeCell ref="B2:F2"/>
    <mergeCell ref="B4:F12"/>
  </mergeCells>
  <phoneticPr fontId="0" type="noConversion"/>
  <printOptions horizontalCentered="1"/>
  <pageMargins left="0.75" right="0.75" top="1" bottom="1" header="0.5" footer="0.5"/>
  <pageSetup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workbookViewId="0"/>
  </sheetViews>
  <sheetFormatPr defaultRowHeight="12.75" x14ac:dyDescent="0.2"/>
  <cols>
    <col min="1" max="1" width="2.83203125" customWidth="1"/>
    <col min="2" max="2" width="56.83203125" customWidth="1"/>
    <col min="3" max="3" width="2.83203125" customWidth="1"/>
    <col min="4" max="4" width="22.83203125" customWidth="1"/>
    <col min="5" max="5" width="2.83203125" customWidth="1"/>
    <col min="6" max="6" width="16.83203125" style="3" customWidth="1"/>
    <col min="7" max="7" width="2.83203125" customWidth="1"/>
  </cols>
  <sheetData>
    <row r="1" spans="1:7" x14ac:dyDescent="0.2">
      <c r="A1" s="59"/>
      <c r="B1" s="60"/>
      <c r="C1" s="60"/>
      <c r="D1" s="60"/>
      <c r="E1" s="60"/>
      <c r="F1" s="61"/>
      <c r="G1" s="62"/>
    </row>
    <row r="2" spans="1:7" ht="18.75" x14ac:dyDescent="0.3">
      <c r="A2" s="1"/>
      <c r="B2" s="342" t="s">
        <v>564</v>
      </c>
      <c r="C2" s="342"/>
      <c r="D2" s="342"/>
      <c r="E2" s="346"/>
      <c r="F2" s="346"/>
      <c r="G2" s="2"/>
    </row>
    <row r="3" spans="1:7" x14ac:dyDescent="0.2">
      <c r="A3" s="30"/>
      <c r="B3" s="8"/>
      <c r="C3" s="31"/>
      <c r="D3" s="31"/>
      <c r="E3" s="31"/>
      <c r="F3" s="32"/>
      <c r="G3" s="33"/>
    </row>
    <row r="4" spans="1:7" x14ac:dyDescent="0.2">
      <c r="A4" s="30"/>
      <c r="B4" s="353" t="s">
        <v>12</v>
      </c>
      <c r="C4" s="354"/>
      <c r="D4" s="354"/>
      <c r="E4" s="354"/>
      <c r="F4" s="354"/>
      <c r="G4" s="33"/>
    </row>
    <row r="5" spans="1:7" x14ac:dyDescent="0.2">
      <c r="A5" s="30"/>
      <c r="B5" s="354"/>
      <c r="C5" s="354"/>
      <c r="D5" s="354"/>
      <c r="E5" s="354"/>
      <c r="F5" s="354"/>
      <c r="G5" s="33"/>
    </row>
    <row r="6" spans="1:7" x14ac:dyDescent="0.2">
      <c r="A6" s="30"/>
      <c r="B6" s="354"/>
      <c r="C6" s="354"/>
      <c r="D6" s="354"/>
      <c r="E6" s="354"/>
      <c r="F6" s="354"/>
      <c r="G6" s="33"/>
    </row>
    <row r="7" spans="1:7" x14ac:dyDescent="0.2">
      <c r="A7" s="30"/>
      <c r="B7" s="354"/>
      <c r="C7" s="354"/>
      <c r="D7" s="354"/>
      <c r="E7" s="354"/>
      <c r="F7" s="354"/>
      <c r="G7" s="33"/>
    </row>
    <row r="8" spans="1:7" x14ac:dyDescent="0.2">
      <c r="A8" s="30"/>
      <c r="B8" s="354"/>
      <c r="C8" s="354"/>
      <c r="D8" s="354"/>
      <c r="E8" s="354"/>
      <c r="F8" s="354"/>
      <c r="G8" s="33"/>
    </row>
    <row r="9" spans="1:7" x14ac:dyDescent="0.2">
      <c r="A9" s="30"/>
      <c r="B9" s="354"/>
      <c r="C9" s="354"/>
      <c r="D9" s="354"/>
      <c r="E9" s="354"/>
      <c r="F9" s="354"/>
      <c r="G9" s="33"/>
    </row>
    <row r="10" spans="1:7" x14ac:dyDescent="0.2">
      <c r="A10" s="30"/>
      <c r="B10" s="354"/>
      <c r="C10" s="354"/>
      <c r="D10" s="354"/>
      <c r="E10" s="354"/>
      <c r="F10" s="354"/>
      <c r="G10" s="33"/>
    </row>
    <row r="11" spans="1:7" x14ac:dyDescent="0.2">
      <c r="A11" s="30"/>
      <c r="B11" s="354"/>
      <c r="C11" s="354"/>
      <c r="D11" s="354"/>
      <c r="E11" s="354"/>
      <c r="F11" s="354"/>
      <c r="G11" s="33"/>
    </row>
    <row r="12" spans="1:7" x14ac:dyDescent="0.2">
      <c r="A12" s="30"/>
      <c r="B12" s="354"/>
      <c r="C12" s="354"/>
      <c r="D12" s="354"/>
      <c r="E12" s="354"/>
      <c r="F12" s="354"/>
      <c r="G12" s="33"/>
    </row>
    <row r="13" spans="1:7" x14ac:dyDescent="0.2">
      <c r="A13" s="30"/>
      <c r="B13" s="354"/>
      <c r="C13" s="354"/>
      <c r="D13" s="354"/>
      <c r="E13" s="354"/>
      <c r="F13" s="354"/>
      <c r="G13" s="33"/>
    </row>
    <row r="14" spans="1:7" x14ac:dyDescent="0.2">
      <c r="A14" s="30"/>
      <c r="B14" s="31"/>
      <c r="C14" s="31"/>
      <c r="D14" s="31"/>
      <c r="E14" s="31"/>
      <c r="F14" s="32"/>
      <c r="G14" s="33"/>
    </row>
    <row r="15" spans="1:7" x14ac:dyDescent="0.2">
      <c r="A15" s="30"/>
      <c r="B15" s="13" t="s">
        <v>247</v>
      </c>
      <c r="C15" s="31"/>
      <c r="D15" s="14" t="s">
        <v>246</v>
      </c>
      <c r="E15" s="31"/>
      <c r="F15" s="34"/>
      <c r="G15" s="33"/>
    </row>
    <row r="16" spans="1:7" x14ac:dyDescent="0.2">
      <c r="A16" s="30"/>
      <c r="B16" s="9" t="s">
        <v>406</v>
      </c>
      <c r="C16" s="31"/>
      <c r="D16" s="72">
        <v>80000000</v>
      </c>
      <c r="E16" s="31"/>
      <c r="F16" s="36"/>
      <c r="G16" s="33"/>
    </row>
    <row r="17" spans="1:7" x14ac:dyDescent="0.2">
      <c r="A17" s="30"/>
      <c r="B17" s="9" t="s">
        <v>407</v>
      </c>
      <c r="C17" s="31"/>
      <c r="D17" s="72">
        <v>20000000</v>
      </c>
      <c r="E17" s="31"/>
      <c r="F17" s="36"/>
      <c r="G17" s="33"/>
    </row>
    <row r="18" spans="1:7" x14ac:dyDescent="0.2">
      <c r="A18" s="30"/>
      <c r="B18" s="31" t="s">
        <v>460</v>
      </c>
      <c r="C18" s="31"/>
      <c r="D18" s="40">
        <v>1.8240000000000001</v>
      </c>
      <c r="E18" s="31"/>
      <c r="F18" s="37"/>
      <c r="G18" s="33"/>
    </row>
    <row r="19" spans="1:7" x14ac:dyDescent="0.2">
      <c r="A19" s="30"/>
      <c r="B19" s="31" t="s">
        <v>408</v>
      </c>
      <c r="C19" s="31"/>
      <c r="D19" s="41">
        <v>0.04</v>
      </c>
      <c r="E19" s="31"/>
      <c r="F19" s="37"/>
      <c r="G19" s="33"/>
    </row>
    <row r="20" spans="1:7" x14ac:dyDescent="0.2">
      <c r="A20" s="30"/>
      <c r="B20" s="31" t="s">
        <v>409</v>
      </c>
      <c r="C20" s="31"/>
      <c r="D20" s="41">
        <v>0.105</v>
      </c>
      <c r="E20" s="31"/>
      <c r="F20" s="37"/>
      <c r="G20" s="33"/>
    </row>
    <row r="21" spans="1:7" x14ac:dyDescent="0.2">
      <c r="A21" s="30"/>
      <c r="B21" s="31" t="s">
        <v>85</v>
      </c>
      <c r="C21" s="31"/>
      <c r="D21" s="38">
        <f>D18*(1+D20)/(1+D19)</f>
        <v>1.9379999999999999</v>
      </c>
      <c r="E21" s="31"/>
      <c r="F21" s="32"/>
      <c r="G21" s="33"/>
    </row>
    <row r="22" spans="1:7" x14ac:dyDescent="0.2">
      <c r="A22" s="30"/>
      <c r="B22" s="31"/>
      <c r="C22" s="31"/>
      <c r="D22" s="64"/>
      <c r="E22" s="31"/>
      <c r="F22" s="32"/>
      <c r="G22" s="33"/>
    </row>
    <row r="23" spans="1:7" x14ac:dyDescent="0.2">
      <c r="A23" s="30"/>
      <c r="B23" s="31"/>
      <c r="C23" s="31"/>
      <c r="D23" s="16"/>
      <c r="E23" s="31"/>
      <c r="F23" s="43" t="s">
        <v>394</v>
      </c>
      <c r="G23" s="33"/>
    </row>
    <row r="24" spans="1:7" x14ac:dyDescent="0.2">
      <c r="A24" s="30"/>
      <c r="B24" s="13" t="s">
        <v>397</v>
      </c>
      <c r="C24" s="31"/>
      <c r="D24" s="14" t="s">
        <v>246</v>
      </c>
      <c r="E24" s="31"/>
      <c r="F24" s="14" t="s">
        <v>393</v>
      </c>
      <c r="G24" s="33"/>
    </row>
    <row r="25" spans="1:7" x14ac:dyDescent="0.2">
      <c r="A25" s="30"/>
      <c r="B25" s="31"/>
      <c r="C25" s="31"/>
      <c r="D25" s="31"/>
      <c r="E25" s="31"/>
      <c r="F25" s="32"/>
      <c r="G25" s="33"/>
    </row>
    <row r="26" spans="1:7" x14ac:dyDescent="0.2">
      <c r="A26" s="30"/>
      <c r="B26" s="44" t="s">
        <v>410</v>
      </c>
      <c r="C26" s="31"/>
      <c r="D26" s="31"/>
      <c r="E26" s="31"/>
      <c r="F26" s="32"/>
      <c r="G26" s="33"/>
    </row>
    <row r="27" spans="1:7" x14ac:dyDescent="0.2">
      <c r="A27" s="30"/>
      <c r="B27" s="44"/>
      <c r="C27" s="31"/>
      <c r="D27" s="31"/>
      <c r="E27" s="31"/>
      <c r="F27" s="32"/>
      <c r="G27" s="33"/>
    </row>
    <row r="28" spans="1:7" x14ac:dyDescent="0.2">
      <c r="A28" s="30"/>
      <c r="B28" s="45" t="s">
        <v>411</v>
      </c>
      <c r="C28" s="31"/>
      <c r="D28" s="73">
        <f>D16</f>
        <v>80000000</v>
      </c>
      <c r="E28" s="31"/>
      <c r="F28" s="32"/>
      <c r="G28" s="33"/>
    </row>
    <row r="29" spans="1:7" x14ac:dyDescent="0.2">
      <c r="A29" s="30"/>
      <c r="B29" s="45" t="s">
        <v>412</v>
      </c>
      <c r="C29" s="31"/>
      <c r="D29" s="73">
        <f>-D17</f>
        <v>-20000000</v>
      </c>
      <c r="E29" s="31"/>
      <c r="F29" s="32"/>
      <c r="G29" s="33"/>
    </row>
    <row r="30" spans="1:7" x14ac:dyDescent="0.2">
      <c r="A30" s="30"/>
      <c r="B30" s="45" t="s">
        <v>413</v>
      </c>
      <c r="C30" s="31"/>
      <c r="D30" s="186">
        <f>D28+D29</f>
        <v>60000000</v>
      </c>
      <c r="E30" s="31"/>
      <c r="F30" s="32" t="s">
        <v>263</v>
      </c>
      <c r="G30" s="33"/>
    </row>
    <row r="31" spans="1:7" x14ac:dyDescent="0.2">
      <c r="A31" s="30"/>
      <c r="B31" s="45"/>
      <c r="C31" s="31"/>
      <c r="D31" s="67"/>
      <c r="E31" s="31"/>
      <c r="F31" s="32"/>
      <c r="G31" s="33"/>
    </row>
    <row r="32" spans="1:7" x14ac:dyDescent="0.2">
      <c r="A32" s="30"/>
      <c r="B32" s="349" t="s">
        <v>459</v>
      </c>
      <c r="C32" s="348"/>
      <c r="D32" s="348"/>
      <c r="E32" s="348"/>
      <c r="F32" s="348"/>
      <c r="G32" s="33"/>
    </row>
    <row r="33" spans="1:7" x14ac:dyDescent="0.2">
      <c r="A33" s="30"/>
      <c r="B33" s="348"/>
      <c r="C33" s="348"/>
      <c r="D33" s="348"/>
      <c r="E33" s="348"/>
      <c r="F33" s="348"/>
      <c r="G33" s="33"/>
    </row>
    <row r="34" spans="1:7" x14ac:dyDescent="0.2">
      <c r="A34" s="30"/>
      <c r="B34" s="348"/>
      <c r="C34" s="348"/>
      <c r="D34" s="348"/>
      <c r="E34" s="348"/>
      <c r="F34" s="348"/>
      <c r="G34" s="33"/>
    </row>
    <row r="35" spans="1:7" x14ac:dyDescent="0.2">
      <c r="A35" s="30"/>
      <c r="B35" s="69"/>
      <c r="C35" s="31"/>
      <c r="D35" s="67"/>
      <c r="E35" s="31"/>
      <c r="F35" s="32"/>
      <c r="G35" s="33"/>
    </row>
    <row r="36" spans="1:7" x14ac:dyDescent="0.2">
      <c r="A36" s="30"/>
      <c r="B36" s="69"/>
      <c r="C36" s="31"/>
      <c r="D36" s="67"/>
      <c r="E36" s="31"/>
      <c r="F36" s="32"/>
      <c r="G36" s="33"/>
    </row>
    <row r="37" spans="1:7" x14ac:dyDescent="0.2">
      <c r="A37" s="30"/>
      <c r="B37" s="70" t="s">
        <v>414</v>
      </c>
      <c r="C37" s="31"/>
      <c r="D37" s="67"/>
      <c r="E37" s="31"/>
      <c r="F37" s="32"/>
      <c r="G37" s="33"/>
    </row>
    <row r="38" spans="1:7" x14ac:dyDescent="0.2">
      <c r="A38" s="30"/>
      <c r="B38" s="69"/>
      <c r="C38" s="31"/>
      <c r="D38" s="67"/>
      <c r="E38" s="31"/>
      <c r="F38" s="32"/>
      <c r="G38" s="33"/>
    </row>
    <row r="39" spans="1:7" x14ac:dyDescent="0.2">
      <c r="A39" s="30"/>
      <c r="B39" s="45" t="s">
        <v>425</v>
      </c>
      <c r="C39" s="31"/>
      <c r="D39" s="187">
        <f>D30*D18</f>
        <v>109440000</v>
      </c>
      <c r="E39" s="31"/>
      <c r="F39" s="32" t="s">
        <v>262</v>
      </c>
      <c r="G39" s="33"/>
    </row>
    <row r="40" spans="1:7" x14ac:dyDescent="0.2">
      <c r="A40" s="30"/>
      <c r="B40" s="45"/>
      <c r="C40" s="31"/>
      <c r="D40" s="67"/>
      <c r="E40" s="31"/>
      <c r="F40" s="32"/>
      <c r="G40" s="33"/>
    </row>
    <row r="41" spans="1:7" x14ac:dyDescent="0.2">
      <c r="A41" s="30"/>
      <c r="B41" s="45" t="s">
        <v>426</v>
      </c>
      <c r="C41" s="31"/>
      <c r="D41" s="187">
        <f>D30*D21</f>
        <v>116280000</v>
      </c>
      <c r="E41" s="31"/>
      <c r="F41" s="32" t="s">
        <v>263</v>
      </c>
      <c r="G41" s="33"/>
    </row>
    <row r="42" spans="1:7" x14ac:dyDescent="0.2">
      <c r="A42" s="30"/>
      <c r="B42" s="45"/>
      <c r="C42" s="31"/>
      <c r="D42" s="71"/>
      <c r="E42" s="31"/>
      <c r="F42" s="32"/>
      <c r="G42" s="33"/>
    </row>
    <row r="43" spans="1:7" x14ac:dyDescent="0.2">
      <c r="A43" s="30"/>
      <c r="B43" s="349" t="s">
        <v>458</v>
      </c>
      <c r="C43" s="348"/>
      <c r="D43" s="348"/>
      <c r="E43" s="348"/>
      <c r="F43" s="348"/>
      <c r="G43" s="33"/>
    </row>
    <row r="44" spans="1:7" x14ac:dyDescent="0.2">
      <c r="A44" s="30"/>
      <c r="B44" s="348"/>
      <c r="C44" s="348"/>
      <c r="D44" s="348"/>
      <c r="E44" s="348"/>
      <c r="F44" s="348"/>
      <c r="G44" s="33"/>
    </row>
    <row r="45" spans="1:7" x14ac:dyDescent="0.2">
      <c r="A45" s="30"/>
      <c r="B45" s="348"/>
      <c r="C45" s="348"/>
      <c r="D45" s="348"/>
      <c r="E45" s="348"/>
      <c r="F45" s="348"/>
      <c r="G45" s="33"/>
    </row>
    <row r="46" spans="1:7" x14ac:dyDescent="0.2">
      <c r="A46" s="30"/>
      <c r="B46" s="350"/>
      <c r="C46" s="350"/>
      <c r="D46" s="350"/>
      <c r="E46" s="350"/>
      <c r="F46" s="350"/>
      <c r="G46" s="33"/>
    </row>
    <row r="47" spans="1:7" ht="13.5" thickBot="1" x14ac:dyDescent="0.25">
      <c r="A47" s="55"/>
      <c r="B47" s="56"/>
      <c r="C47" s="56"/>
      <c r="D47" s="56"/>
      <c r="E47" s="56"/>
      <c r="F47" s="57"/>
      <c r="G47" s="58"/>
    </row>
  </sheetData>
  <mergeCells count="4">
    <mergeCell ref="B2:F2"/>
    <mergeCell ref="B32:F34"/>
    <mergeCell ref="B4:F13"/>
    <mergeCell ref="B43:F46"/>
  </mergeCells>
  <phoneticPr fontId="0" type="noConversion"/>
  <printOptions horizontalCentered="1"/>
  <pageMargins left="0.75" right="0.75" top="1" bottom="1" header="0.5" footer="0.5"/>
  <pageSetup scale="9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7"/>
  <sheetViews>
    <sheetView workbookViewId="0"/>
  </sheetViews>
  <sheetFormatPr defaultRowHeight="12.75" x14ac:dyDescent="0.2"/>
  <cols>
    <col min="1" max="1" width="2.83203125" customWidth="1"/>
    <col min="2" max="2" width="46.83203125" customWidth="1"/>
    <col min="3" max="3" width="2.83203125" customWidth="1"/>
    <col min="4" max="4" width="14.83203125" customWidth="1"/>
    <col min="5" max="5" width="2.83203125" customWidth="1"/>
    <col min="6" max="6" width="30.83203125" bestFit="1" customWidth="1"/>
    <col min="7" max="7" width="2.83203125" customWidth="1"/>
    <col min="8" max="8" width="28.83203125" style="3" customWidth="1"/>
    <col min="9" max="9" width="2.83203125" customWidth="1"/>
    <col min="15" max="15" width="9.5" bestFit="1" customWidth="1"/>
    <col min="17" max="17" width="9.5" bestFit="1" customWidth="1"/>
  </cols>
  <sheetData>
    <row r="1" spans="1:9" x14ac:dyDescent="0.2">
      <c r="A1" s="59"/>
      <c r="B1" s="60"/>
      <c r="C1" s="60"/>
      <c r="D1" s="60"/>
      <c r="E1" s="60"/>
      <c r="F1" s="60"/>
      <c r="G1" s="60"/>
      <c r="H1" s="61"/>
      <c r="I1" s="62"/>
    </row>
    <row r="2" spans="1:9" ht="18.75" x14ac:dyDescent="0.3">
      <c r="A2" s="1"/>
      <c r="B2" s="342" t="s">
        <v>565</v>
      </c>
      <c r="C2" s="342"/>
      <c r="D2" s="342"/>
      <c r="E2" s="342"/>
      <c r="F2" s="342"/>
      <c r="G2" s="346"/>
      <c r="H2" s="346"/>
      <c r="I2" s="2"/>
    </row>
    <row r="3" spans="1:9" x14ac:dyDescent="0.2">
      <c r="A3" s="30"/>
      <c r="B3" s="8"/>
      <c r="C3" s="31"/>
      <c r="D3" s="31"/>
      <c r="E3" s="31"/>
      <c r="F3" s="31"/>
      <c r="G3" s="31"/>
      <c r="H3" s="32"/>
      <c r="I3" s="33"/>
    </row>
    <row r="4" spans="1:9" x14ac:dyDescent="0.2">
      <c r="A4" s="30"/>
      <c r="B4" s="357" t="s">
        <v>566</v>
      </c>
      <c r="C4" s="348"/>
      <c r="D4" s="348"/>
      <c r="E4" s="348"/>
      <c r="F4" s="348"/>
      <c r="G4" s="348"/>
      <c r="H4" s="348"/>
      <c r="I4" s="33"/>
    </row>
    <row r="5" spans="1:9" x14ac:dyDescent="0.2">
      <c r="A5" s="30"/>
      <c r="B5" s="348"/>
      <c r="C5" s="348"/>
      <c r="D5" s="348"/>
      <c r="E5" s="348"/>
      <c r="F5" s="348"/>
      <c r="G5" s="348"/>
      <c r="H5" s="348"/>
      <c r="I5" s="33"/>
    </row>
    <row r="6" spans="1:9" x14ac:dyDescent="0.2">
      <c r="A6" s="30"/>
      <c r="B6" s="348"/>
      <c r="C6" s="348"/>
      <c r="D6" s="348"/>
      <c r="E6" s="348"/>
      <c r="F6" s="348"/>
      <c r="G6" s="348"/>
      <c r="H6" s="348"/>
      <c r="I6" s="33"/>
    </row>
    <row r="7" spans="1:9" x14ac:dyDescent="0.2">
      <c r="A7" s="30"/>
      <c r="B7" s="348"/>
      <c r="C7" s="348"/>
      <c r="D7" s="348"/>
      <c r="E7" s="348"/>
      <c r="F7" s="348"/>
      <c r="G7" s="348"/>
      <c r="H7" s="348"/>
      <c r="I7" s="33"/>
    </row>
    <row r="8" spans="1:9" ht="13.5" thickBot="1" x14ac:dyDescent="0.25">
      <c r="A8" s="30"/>
      <c r="B8" s="68"/>
      <c r="C8" s="68"/>
      <c r="D8" s="334"/>
      <c r="E8" s="334"/>
      <c r="F8" s="68"/>
      <c r="G8" s="68"/>
      <c r="H8" s="68"/>
      <c r="I8" s="33"/>
    </row>
    <row r="9" spans="1:9" x14ac:dyDescent="0.2">
      <c r="A9" s="30"/>
      <c r="B9" s="198" t="s">
        <v>490</v>
      </c>
      <c r="C9" s="198"/>
      <c r="D9" s="337">
        <v>118.255</v>
      </c>
      <c r="E9" s="198"/>
      <c r="F9" s="340" t="s">
        <v>493</v>
      </c>
      <c r="G9" s="198"/>
      <c r="H9" s="335"/>
      <c r="I9" s="33"/>
    </row>
    <row r="10" spans="1:9" x14ac:dyDescent="0.2">
      <c r="A10" s="30"/>
      <c r="B10" s="201" t="s">
        <v>489</v>
      </c>
      <c r="C10" s="201"/>
      <c r="D10" s="338">
        <v>117.76</v>
      </c>
      <c r="E10" s="201"/>
      <c r="F10" s="336">
        <f>($D$9-D10)/(D10)*12</f>
        <v>5.0441576086955542E-2</v>
      </c>
      <c r="G10" s="201"/>
      <c r="H10" s="335"/>
      <c r="I10" s="33"/>
    </row>
    <row r="11" spans="1:9" x14ac:dyDescent="0.2">
      <c r="A11" s="30"/>
      <c r="B11" s="201" t="s">
        <v>491</v>
      </c>
      <c r="C11" s="201"/>
      <c r="D11" s="338">
        <v>116.83</v>
      </c>
      <c r="E11" s="201"/>
      <c r="F11" s="336">
        <f>($D$9-D11)/(D11)*4</f>
        <v>4.8788838483266185E-2</v>
      </c>
      <c r="G11" s="201"/>
      <c r="H11" s="335"/>
      <c r="I11" s="33"/>
    </row>
    <row r="12" spans="1:9" ht="13.5" thickBot="1" x14ac:dyDescent="0.25">
      <c r="A12" s="30"/>
      <c r="B12" s="204" t="s">
        <v>492</v>
      </c>
      <c r="C12" s="204"/>
      <c r="D12" s="339">
        <v>112.45</v>
      </c>
      <c r="E12" s="204"/>
      <c r="F12" s="341">
        <f>($D$9-D12)/(D12)</f>
        <v>5.1622943530457911E-2</v>
      </c>
      <c r="G12" s="204"/>
      <c r="H12" s="335"/>
      <c r="I12" s="33"/>
    </row>
    <row r="13" spans="1:9" x14ac:dyDescent="0.2">
      <c r="A13" s="30"/>
      <c r="B13" s="68"/>
      <c r="C13" s="68"/>
      <c r="D13" s="334"/>
      <c r="E13" s="334"/>
      <c r="F13" s="68"/>
      <c r="G13" s="68"/>
      <c r="H13" s="68"/>
      <c r="I13" s="33"/>
    </row>
    <row r="14" spans="1:9" ht="13.5" thickBot="1" x14ac:dyDescent="0.25">
      <c r="A14" s="30"/>
      <c r="B14" s="219" t="s">
        <v>496</v>
      </c>
      <c r="C14" s="219"/>
      <c r="D14" s="219"/>
      <c r="E14" s="219"/>
      <c r="F14" s="220" t="s">
        <v>494</v>
      </c>
      <c r="G14" s="219"/>
      <c r="H14" s="220" t="s">
        <v>495</v>
      </c>
      <c r="I14" s="33"/>
    </row>
    <row r="15" spans="1:9" x14ac:dyDescent="0.2">
      <c r="A15" s="30"/>
      <c r="B15" s="198" t="s">
        <v>497</v>
      </c>
      <c r="C15" s="216"/>
      <c r="D15" s="216"/>
      <c r="E15" s="216"/>
      <c r="F15" s="221">
        <v>9.3749999999999997E-4</v>
      </c>
      <c r="G15" s="216"/>
      <c r="H15" s="221">
        <v>4.7812500000000001E-2</v>
      </c>
      <c r="I15" s="33"/>
    </row>
    <row r="16" spans="1:9" x14ac:dyDescent="0.2">
      <c r="A16" s="30"/>
      <c r="B16" s="201" t="s">
        <v>498</v>
      </c>
      <c r="C16" s="217"/>
      <c r="D16" s="217"/>
      <c r="E16" s="217"/>
      <c r="F16" s="222">
        <v>9.3749999999999997E-4</v>
      </c>
      <c r="G16" s="217"/>
      <c r="H16" s="222">
        <v>4.8437500000000001E-2</v>
      </c>
      <c r="I16" s="33"/>
    </row>
    <row r="17" spans="1:9" ht="13.5" thickBot="1" x14ac:dyDescent="0.25">
      <c r="A17" s="30"/>
      <c r="B17" s="204" t="s">
        <v>499</v>
      </c>
      <c r="C17" s="218"/>
      <c r="D17" s="218"/>
      <c r="E17" s="218"/>
      <c r="F17" s="223">
        <v>3.1250000000000002E-3</v>
      </c>
      <c r="G17" s="218"/>
      <c r="H17" s="223">
        <v>4.8750000000000002E-2</v>
      </c>
      <c r="I17" s="33"/>
    </row>
    <row r="18" spans="1:9" x14ac:dyDescent="0.2">
      <c r="A18" s="30"/>
      <c r="B18" s="68"/>
      <c r="C18" s="68"/>
      <c r="D18" s="334"/>
      <c r="E18" s="334"/>
      <c r="F18" s="68"/>
      <c r="G18" s="68"/>
      <c r="H18" s="68"/>
      <c r="I18" s="33"/>
    </row>
    <row r="19" spans="1:9" ht="12.75" customHeight="1" x14ac:dyDescent="0.2">
      <c r="A19" s="30"/>
      <c r="B19" s="359" t="s">
        <v>500</v>
      </c>
      <c r="C19" s="359"/>
      <c r="D19" s="359"/>
      <c r="E19" s="359"/>
      <c r="F19" s="359"/>
      <c r="G19" s="359"/>
      <c r="H19" s="359"/>
      <c r="I19" s="33"/>
    </row>
    <row r="20" spans="1:9" x14ac:dyDescent="0.2">
      <c r="A20" s="30"/>
      <c r="B20" s="359"/>
      <c r="C20" s="359"/>
      <c r="D20" s="359"/>
      <c r="E20" s="359"/>
      <c r="F20" s="359"/>
      <c r="G20" s="359"/>
      <c r="H20" s="359"/>
      <c r="I20" s="33"/>
    </row>
    <row r="21" spans="1:9" x14ac:dyDescent="0.2">
      <c r="A21" s="30"/>
      <c r="B21" s="359"/>
      <c r="C21" s="359"/>
      <c r="D21" s="359"/>
      <c r="E21" s="359"/>
      <c r="F21" s="359"/>
      <c r="G21" s="359"/>
      <c r="H21" s="359"/>
      <c r="I21" s="33"/>
    </row>
    <row r="22" spans="1:9" x14ac:dyDescent="0.2">
      <c r="A22" s="30"/>
      <c r="B22" s="81"/>
      <c r="C22" s="31"/>
      <c r="D22" s="31"/>
      <c r="E22" s="31"/>
      <c r="F22" s="31"/>
      <c r="G22" s="31"/>
      <c r="H22" s="32"/>
      <c r="I22" s="33"/>
    </row>
    <row r="23" spans="1:9" x14ac:dyDescent="0.2">
      <c r="A23" s="30"/>
      <c r="B23" s="358" t="s">
        <v>487</v>
      </c>
      <c r="C23" s="348"/>
      <c r="D23" s="348"/>
      <c r="E23" s="348"/>
      <c r="F23" s="348"/>
      <c r="G23" s="348"/>
      <c r="H23" s="348"/>
      <c r="I23" s="33"/>
    </row>
    <row r="24" spans="1:9" x14ac:dyDescent="0.2">
      <c r="A24" s="30"/>
      <c r="B24" s="348"/>
      <c r="C24" s="348"/>
      <c r="D24" s="348"/>
      <c r="E24" s="348"/>
      <c r="F24" s="348"/>
      <c r="G24" s="348"/>
      <c r="H24" s="348"/>
      <c r="I24" s="33"/>
    </row>
    <row r="25" spans="1:9" x14ac:dyDescent="0.2">
      <c r="A25" s="30"/>
      <c r="B25" s="348"/>
      <c r="C25" s="348"/>
      <c r="D25" s="348"/>
      <c r="E25" s="348"/>
      <c r="F25" s="348"/>
      <c r="G25" s="348"/>
      <c r="H25" s="348"/>
      <c r="I25" s="33"/>
    </row>
    <row r="26" spans="1:9" x14ac:dyDescent="0.2">
      <c r="A26" s="30"/>
      <c r="B26" s="68"/>
      <c r="C26" s="68"/>
      <c r="D26" s="334"/>
      <c r="E26" s="334"/>
      <c r="F26" s="68"/>
      <c r="G26" s="68"/>
      <c r="H26" s="68"/>
      <c r="I26" s="33"/>
    </row>
    <row r="27" spans="1:9" x14ac:dyDescent="0.2">
      <c r="A27" s="30"/>
      <c r="B27" s="224" t="s">
        <v>501</v>
      </c>
      <c r="C27" s="68"/>
      <c r="D27" s="334"/>
      <c r="E27" s="334"/>
      <c r="F27" s="68"/>
      <c r="G27" s="68"/>
      <c r="H27" s="68"/>
      <c r="I27" s="33"/>
    </row>
    <row r="28" spans="1:9" ht="25.5" x14ac:dyDescent="0.2">
      <c r="A28" s="30"/>
      <c r="B28" s="197" t="s">
        <v>502</v>
      </c>
      <c r="C28" s="68"/>
      <c r="D28" s="334"/>
      <c r="E28" s="334"/>
      <c r="F28" s="68"/>
      <c r="G28" s="68"/>
      <c r="H28" s="68"/>
      <c r="I28" s="33"/>
    </row>
    <row r="29" spans="1:9" x14ac:dyDescent="0.2">
      <c r="A29" s="30"/>
      <c r="B29" s="68"/>
      <c r="C29" s="68"/>
      <c r="D29" s="334"/>
      <c r="E29" s="334"/>
      <c r="F29" s="68"/>
      <c r="G29" s="68"/>
      <c r="H29" s="68"/>
      <c r="I29" s="33"/>
    </row>
    <row r="30" spans="1:9" ht="25.5" x14ac:dyDescent="0.2">
      <c r="A30" s="30"/>
      <c r="B30" s="197" t="s">
        <v>503</v>
      </c>
      <c r="C30" s="68"/>
      <c r="D30" s="334"/>
      <c r="E30" s="334"/>
      <c r="F30" s="68"/>
      <c r="G30" s="68"/>
      <c r="H30" s="68"/>
      <c r="I30" s="33"/>
    </row>
    <row r="31" spans="1:9" x14ac:dyDescent="0.2">
      <c r="A31" s="30"/>
      <c r="B31" s="44"/>
      <c r="C31" s="31"/>
      <c r="D31" s="31"/>
      <c r="E31" s="31"/>
      <c r="F31" s="31"/>
      <c r="G31" s="31"/>
      <c r="H31" s="32"/>
      <c r="I31" s="33"/>
    </row>
    <row r="32" spans="1:9" x14ac:dyDescent="0.2">
      <c r="A32" s="30"/>
      <c r="B32" s="9" t="s">
        <v>241</v>
      </c>
      <c r="C32" s="142"/>
      <c r="D32" s="142"/>
      <c r="E32" s="142"/>
      <c r="F32" s="31"/>
      <c r="G32" s="31"/>
      <c r="H32" s="32"/>
      <c r="I32" s="33"/>
    </row>
    <row r="33" spans="1:9" x14ac:dyDescent="0.2">
      <c r="A33" s="30"/>
      <c r="B33" s="9" t="s">
        <v>242</v>
      </c>
      <c r="C33" s="31"/>
      <c r="D33" s="31"/>
      <c r="E33" s="31"/>
      <c r="F33" s="142"/>
      <c r="G33" s="31"/>
      <c r="H33" s="32"/>
      <c r="I33" s="33"/>
    </row>
    <row r="34" spans="1:9" x14ac:dyDescent="0.2">
      <c r="A34" s="30"/>
      <c r="B34" s="31"/>
      <c r="C34" s="31"/>
      <c r="D34" s="31"/>
      <c r="E34" s="31"/>
      <c r="F34" s="31"/>
      <c r="G34" s="31"/>
      <c r="H34" s="32"/>
      <c r="I34" s="33"/>
    </row>
    <row r="35" spans="1:9" x14ac:dyDescent="0.2">
      <c r="A35" s="30"/>
      <c r="B35" s="13" t="s">
        <v>247</v>
      </c>
      <c r="C35" s="31"/>
      <c r="D35" s="31"/>
      <c r="E35" s="31"/>
      <c r="F35" s="14" t="s">
        <v>246</v>
      </c>
      <c r="G35" s="31"/>
      <c r="H35" s="34"/>
      <c r="I35" s="33"/>
    </row>
    <row r="36" spans="1:9" x14ac:dyDescent="0.2">
      <c r="A36" s="30"/>
      <c r="B36" s="9" t="s">
        <v>163</v>
      </c>
      <c r="C36" s="31"/>
      <c r="D36" s="31"/>
      <c r="E36" s="31"/>
      <c r="F36" s="85">
        <v>20000000</v>
      </c>
      <c r="G36" s="31"/>
      <c r="H36" s="36"/>
      <c r="I36" s="33"/>
    </row>
    <row r="37" spans="1:9" ht="13.5" thickBot="1" x14ac:dyDescent="0.25">
      <c r="A37" s="30"/>
      <c r="B37" s="9" t="s">
        <v>162</v>
      </c>
      <c r="C37" s="31"/>
      <c r="D37" s="31"/>
      <c r="E37" s="31"/>
      <c r="F37" s="144">
        <v>118.255</v>
      </c>
      <c r="G37" s="31"/>
      <c r="H37" s="36"/>
      <c r="I37" s="33"/>
    </row>
    <row r="38" spans="1:9" ht="13.5" thickBot="1" x14ac:dyDescent="0.25">
      <c r="A38" s="30"/>
      <c r="B38" s="9" t="s">
        <v>141</v>
      </c>
      <c r="C38" s="31"/>
      <c r="D38" s="31"/>
      <c r="E38" s="31"/>
      <c r="F38" s="192">
        <f>F36/F37</f>
        <v>169126.04118219102</v>
      </c>
      <c r="G38" s="31"/>
      <c r="H38" s="36"/>
      <c r="I38" s="33"/>
    </row>
    <row r="39" spans="1:9" x14ac:dyDescent="0.2">
      <c r="A39" s="30"/>
      <c r="B39" s="9" t="s">
        <v>328</v>
      </c>
      <c r="C39" s="31"/>
      <c r="D39" s="31"/>
      <c r="E39" s="31"/>
      <c r="F39" s="85">
        <v>90</v>
      </c>
      <c r="G39" s="31"/>
      <c r="H39" s="36"/>
      <c r="I39" s="33"/>
    </row>
    <row r="40" spans="1:9" x14ac:dyDescent="0.2">
      <c r="A40" s="30"/>
      <c r="B40" s="232" t="s">
        <v>567</v>
      </c>
      <c r="C40" s="31"/>
      <c r="D40" s="31"/>
      <c r="E40" s="31"/>
      <c r="F40" s="145">
        <v>0.16</v>
      </c>
      <c r="G40" s="31"/>
      <c r="H40" s="36"/>
      <c r="I40" s="33"/>
    </row>
    <row r="41" spans="1:9" x14ac:dyDescent="0.2">
      <c r="A41" s="30"/>
      <c r="B41" s="9" t="s">
        <v>164</v>
      </c>
      <c r="C41" s="31"/>
      <c r="D41" s="31"/>
      <c r="E41" s="31"/>
      <c r="F41" s="145">
        <v>0.02</v>
      </c>
      <c r="G41" s="31"/>
      <c r="H41" s="36"/>
      <c r="I41" s="33"/>
    </row>
    <row r="42" spans="1:9" x14ac:dyDescent="0.2">
      <c r="A42" s="30"/>
      <c r="B42" s="9"/>
      <c r="C42" s="31"/>
      <c r="D42" s="31"/>
      <c r="E42" s="31"/>
      <c r="F42" s="85"/>
      <c r="G42" s="31"/>
      <c r="H42" s="36"/>
      <c r="I42" s="33"/>
    </row>
    <row r="43" spans="1:9" x14ac:dyDescent="0.2">
      <c r="A43" s="30"/>
      <c r="B43" s="13" t="s">
        <v>350</v>
      </c>
      <c r="C43" s="31"/>
      <c r="D43" s="31"/>
      <c r="E43" s="31"/>
      <c r="F43" s="14" t="s">
        <v>349</v>
      </c>
      <c r="G43" s="31"/>
      <c r="H43" s="14" t="s">
        <v>264</v>
      </c>
      <c r="I43" s="33"/>
    </row>
    <row r="44" spans="1:9" x14ac:dyDescent="0.2">
      <c r="A44" s="30"/>
      <c r="B44" s="9" t="s">
        <v>165</v>
      </c>
      <c r="C44" s="31"/>
      <c r="D44" s="31"/>
      <c r="E44" s="31"/>
      <c r="F44" s="144">
        <v>117.76</v>
      </c>
      <c r="G44" s="31"/>
      <c r="H44" s="146">
        <f>($F$37-F44)/(F44)*(360/30)</f>
        <v>5.0441576086955542E-2</v>
      </c>
      <c r="I44" s="33"/>
    </row>
    <row r="45" spans="1:9" x14ac:dyDescent="0.2">
      <c r="A45" s="30"/>
      <c r="B45" s="9" t="s">
        <v>166</v>
      </c>
      <c r="C45" s="31"/>
      <c r="D45" s="31"/>
      <c r="E45" s="31"/>
      <c r="F45" s="144">
        <v>116.83</v>
      </c>
      <c r="G45" s="31"/>
      <c r="H45" s="146">
        <f>($F$37-F45)/(F45)*(360/90)</f>
        <v>4.8788838483266185E-2</v>
      </c>
      <c r="I45" s="33"/>
    </row>
    <row r="46" spans="1:9" x14ac:dyDescent="0.2">
      <c r="A46" s="30"/>
      <c r="B46" s="9" t="s">
        <v>167</v>
      </c>
      <c r="C46" s="31"/>
      <c r="D46" s="31"/>
      <c r="E46" s="31"/>
      <c r="F46" s="144">
        <v>112.45</v>
      </c>
      <c r="G46" s="31"/>
      <c r="H46" s="146">
        <f>($F$37-F46)/(F46)*(360/360)</f>
        <v>5.1622943530457911E-2</v>
      </c>
      <c r="I46" s="33"/>
    </row>
    <row r="47" spans="1:9" x14ac:dyDescent="0.2">
      <c r="A47" s="30"/>
      <c r="B47" s="9"/>
      <c r="C47" s="31"/>
      <c r="D47" s="31"/>
      <c r="E47" s="31"/>
      <c r="F47" s="146"/>
      <c r="G47" s="31"/>
      <c r="H47" s="37"/>
      <c r="I47" s="33"/>
    </row>
    <row r="48" spans="1:9" x14ac:dyDescent="0.2">
      <c r="A48" s="30"/>
      <c r="B48" s="13" t="s">
        <v>415</v>
      </c>
      <c r="C48" s="31"/>
      <c r="D48" s="31"/>
      <c r="E48" s="31"/>
      <c r="F48" s="14" t="s">
        <v>272</v>
      </c>
      <c r="G48" s="31"/>
      <c r="H48" s="14" t="s">
        <v>329</v>
      </c>
      <c r="I48" s="33"/>
    </row>
    <row r="49" spans="1:9" x14ac:dyDescent="0.2">
      <c r="A49" s="30"/>
      <c r="B49" s="9" t="s">
        <v>330</v>
      </c>
      <c r="C49" s="31"/>
      <c r="D49" s="31"/>
      <c r="E49" s="31"/>
      <c r="F49" s="147">
        <v>4.8750000000000002E-2</v>
      </c>
      <c r="G49" s="148"/>
      <c r="H49" s="149">
        <v>9.3749999999999997E-4</v>
      </c>
      <c r="I49" s="33"/>
    </row>
    <row r="50" spans="1:9" x14ac:dyDescent="0.2">
      <c r="A50" s="30"/>
      <c r="B50" s="9" t="s">
        <v>331</v>
      </c>
      <c r="C50" s="31"/>
      <c r="D50" s="31"/>
      <c r="E50" s="31"/>
      <c r="F50" s="147">
        <v>4.9375000000000002E-2</v>
      </c>
      <c r="G50" s="148"/>
      <c r="H50" s="149">
        <v>9.3749999999999997E-4</v>
      </c>
      <c r="I50" s="33"/>
    </row>
    <row r="51" spans="1:9" x14ac:dyDescent="0.2">
      <c r="A51" s="30"/>
      <c r="B51" s="9" t="s">
        <v>332</v>
      </c>
      <c r="C51" s="31"/>
      <c r="D51" s="31"/>
      <c r="E51" s="31"/>
      <c r="F51" s="147">
        <v>5.1874999999999998E-2</v>
      </c>
      <c r="G51" s="148"/>
      <c r="H51" s="149">
        <v>3.1250000000000002E-3</v>
      </c>
      <c r="I51" s="33"/>
    </row>
    <row r="52" spans="1:9" x14ac:dyDescent="0.2">
      <c r="A52" s="30"/>
      <c r="B52" s="9"/>
      <c r="C52" s="31"/>
      <c r="D52" s="31"/>
      <c r="E52" s="31"/>
      <c r="F52" s="147"/>
      <c r="G52" s="148"/>
      <c r="H52" s="149"/>
      <c r="I52" s="33"/>
    </row>
    <row r="53" spans="1:9" x14ac:dyDescent="0.2">
      <c r="A53" s="30"/>
      <c r="B53" s="13" t="s">
        <v>419</v>
      </c>
      <c r="C53" s="31"/>
      <c r="D53" s="31"/>
      <c r="E53" s="31"/>
      <c r="F53" s="14" t="s">
        <v>346</v>
      </c>
      <c r="G53" s="148"/>
      <c r="H53" s="14" t="s">
        <v>264</v>
      </c>
      <c r="I53" s="33"/>
    </row>
    <row r="54" spans="1:9" x14ac:dyDescent="0.2">
      <c r="A54" s="30"/>
      <c r="B54" s="9" t="s">
        <v>417</v>
      </c>
      <c r="C54" s="31"/>
      <c r="D54" s="31"/>
      <c r="E54" s="31"/>
      <c r="F54" s="116">
        <v>118</v>
      </c>
      <c r="G54" s="148"/>
      <c r="H54" s="150">
        <v>0.01</v>
      </c>
      <c r="I54" s="33"/>
    </row>
    <row r="55" spans="1:9" x14ac:dyDescent="0.2">
      <c r="A55" s="30"/>
      <c r="B55" s="9" t="s">
        <v>418</v>
      </c>
      <c r="C55" s="31"/>
      <c r="D55" s="31"/>
      <c r="E55" s="31"/>
      <c r="F55" s="116">
        <v>118</v>
      </c>
      <c r="G55" s="31"/>
      <c r="H55" s="145">
        <v>0.03</v>
      </c>
      <c r="I55" s="33"/>
    </row>
    <row r="56" spans="1:9" x14ac:dyDescent="0.2">
      <c r="A56" s="30"/>
      <c r="B56" s="31"/>
      <c r="C56" s="31"/>
      <c r="D56" s="31"/>
      <c r="E56" s="31"/>
      <c r="F56" s="31"/>
      <c r="G56" s="31"/>
      <c r="H56" s="16"/>
      <c r="I56" s="33"/>
    </row>
    <row r="57" spans="1:9" x14ac:dyDescent="0.2">
      <c r="A57" s="30"/>
      <c r="B57" s="13" t="s">
        <v>333</v>
      </c>
      <c r="C57" s="31"/>
      <c r="D57" s="31"/>
      <c r="E57" s="31"/>
      <c r="F57" s="14" t="s">
        <v>246</v>
      </c>
      <c r="G57" s="31"/>
      <c r="H57" s="14" t="s">
        <v>304</v>
      </c>
      <c r="I57" s="33"/>
    </row>
    <row r="58" spans="1:9" x14ac:dyDescent="0.2">
      <c r="A58" s="30"/>
      <c r="B58" s="31"/>
      <c r="C58" s="31"/>
      <c r="D58" s="31"/>
      <c r="E58" s="31"/>
      <c r="F58" s="31"/>
      <c r="G58" s="31"/>
      <c r="H58" s="32"/>
      <c r="I58" s="33"/>
    </row>
    <row r="59" spans="1:9" x14ac:dyDescent="0.2">
      <c r="A59" s="30"/>
      <c r="B59" s="44" t="s">
        <v>338</v>
      </c>
      <c r="C59" s="31"/>
      <c r="D59" s="31"/>
      <c r="E59" s="31"/>
      <c r="F59" s="31"/>
      <c r="G59" s="31"/>
      <c r="H59" s="32"/>
      <c r="I59" s="33"/>
    </row>
    <row r="60" spans="1:9" x14ac:dyDescent="0.2">
      <c r="A60" s="30"/>
      <c r="B60" s="47" t="s">
        <v>334</v>
      </c>
      <c r="C60" s="31"/>
      <c r="D60" s="31"/>
      <c r="E60" s="31"/>
      <c r="F60" s="23">
        <f>F36</f>
        <v>20000000</v>
      </c>
      <c r="G60" s="31"/>
      <c r="H60" s="32"/>
      <c r="I60" s="33"/>
    </row>
    <row r="61" spans="1:9" ht="13.5" thickBot="1" x14ac:dyDescent="0.25">
      <c r="A61" s="30"/>
      <c r="B61" s="47" t="s">
        <v>335</v>
      </c>
      <c r="C61" s="31"/>
      <c r="D61" s="31"/>
      <c r="E61" s="31"/>
      <c r="F61" s="116">
        <f>F37</f>
        <v>118.255</v>
      </c>
      <c r="G61" s="31"/>
      <c r="H61" s="32"/>
      <c r="I61" s="33"/>
    </row>
    <row r="62" spans="1:9" ht="13.5" thickBot="1" x14ac:dyDescent="0.25">
      <c r="A62" s="30"/>
      <c r="B62" s="47" t="s">
        <v>336</v>
      </c>
      <c r="C62" s="31"/>
      <c r="D62" s="31"/>
      <c r="E62" s="31"/>
      <c r="F62" s="192">
        <f>F60/F61</f>
        <v>169126.04118219102</v>
      </c>
      <c r="G62" s="31"/>
      <c r="H62" s="32" t="s">
        <v>288</v>
      </c>
      <c r="I62" s="33"/>
    </row>
    <row r="63" spans="1:9" x14ac:dyDescent="0.2">
      <c r="A63" s="30"/>
      <c r="B63" s="31"/>
      <c r="C63" s="31"/>
      <c r="D63" s="31"/>
      <c r="E63" s="31"/>
      <c r="F63" s="31"/>
      <c r="G63" s="31"/>
      <c r="H63" s="32"/>
      <c r="I63" s="33"/>
    </row>
    <row r="64" spans="1:9" x14ac:dyDescent="0.2">
      <c r="A64" s="30"/>
      <c r="B64" s="70" t="s">
        <v>337</v>
      </c>
      <c r="C64" s="31"/>
      <c r="D64" s="31"/>
      <c r="E64" s="31"/>
      <c r="F64" s="31"/>
      <c r="G64" s="31"/>
      <c r="H64" s="32"/>
      <c r="I64" s="33"/>
    </row>
    <row r="65" spans="1:9" x14ac:dyDescent="0.2">
      <c r="A65" s="30"/>
      <c r="B65" s="47" t="s">
        <v>334</v>
      </c>
      <c r="C65" s="31"/>
      <c r="D65" s="31"/>
      <c r="E65" s="31"/>
      <c r="F65" s="23">
        <f>F36</f>
        <v>20000000</v>
      </c>
      <c r="G65" s="31"/>
      <c r="H65" s="32"/>
      <c r="I65" s="33"/>
    </row>
    <row r="66" spans="1:9" ht="13.5" thickBot="1" x14ac:dyDescent="0.25">
      <c r="A66" s="30"/>
      <c r="B66" s="47" t="s">
        <v>317</v>
      </c>
      <c r="C66" s="31"/>
      <c r="D66" s="31"/>
      <c r="E66" s="31"/>
      <c r="F66" s="116">
        <f>F45</f>
        <v>116.83</v>
      </c>
      <c r="G66" s="31"/>
      <c r="H66" s="32"/>
      <c r="I66" s="33"/>
    </row>
    <row r="67" spans="1:9" ht="13.5" thickBot="1" x14ac:dyDescent="0.25">
      <c r="A67" s="30"/>
      <c r="B67" s="47" t="s">
        <v>336</v>
      </c>
      <c r="C67" s="31"/>
      <c r="D67" s="31"/>
      <c r="E67" s="31"/>
      <c r="F67" s="192">
        <f>F65/F66</f>
        <v>171188.90695882906</v>
      </c>
      <c r="G67" s="31"/>
      <c r="H67" s="32" t="s">
        <v>289</v>
      </c>
      <c r="I67" s="33"/>
    </row>
    <row r="68" spans="1:9" x14ac:dyDescent="0.2">
      <c r="A68" s="30"/>
      <c r="B68" s="31"/>
      <c r="C68" s="31"/>
      <c r="D68" s="31"/>
      <c r="E68" s="31"/>
      <c r="F68" s="31"/>
      <c r="G68" s="31"/>
      <c r="H68" s="32"/>
      <c r="I68" s="33"/>
    </row>
    <row r="69" spans="1:9" x14ac:dyDescent="0.2">
      <c r="A69" s="30"/>
      <c r="B69" s="70" t="s">
        <v>339</v>
      </c>
      <c r="C69" s="31"/>
      <c r="D69" s="31"/>
      <c r="E69" s="31"/>
      <c r="F69" s="31"/>
      <c r="G69" s="31"/>
      <c r="H69" s="32"/>
      <c r="I69" s="33"/>
    </row>
    <row r="70" spans="1:9" x14ac:dyDescent="0.2">
      <c r="A70" s="30"/>
      <c r="B70" s="47" t="s">
        <v>334</v>
      </c>
      <c r="C70" s="31"/>
      <c r="D70" s="31"/>
      <c r="E70" s="31"/>
      <c r="F70" s="23">
        <f>F36</f>
        <v>20000000</v>
      </c>
      <c r="G70" s="31"/>
      <c r="H70" s="32"/>
      <c r="I70" s="33"/>
    </row>
    <row r="71" spans="1:9" x14ac:dyDescent="0.2">
      <c r="A71" s="30"/>
      <c r="B71" s="47" t="s">
        <v>340</v>
      </c>
      <c r="C71" s="31"/>
      <c r="D71" s="31"/>
      <c r="E71" s="31"/>
      <c r="F71" s="151">
        <f>1+((H50+F41)*90/360)</f>
        <v>1.0052343749999999</v>
      </c>
      <c r="G71" s="31"/>
      <c r="H71" s="32" t="s">
        <v>37</v>
      </c>
      <c r="I71" s="33"/>
    </row>
    <row r="72" spans="1:9" x14ac:dyDescent="0.2">
      <c r="A72" s="30"/>
      <c r="B72" s="47" t="s">
        <v>341</v>
      </c>
      <c r="C72" s="31"/>
      <c r="D72" s="31"/>
      <c r="E72" s="31"/>
      <c r="F72" s="23">
        <f>F70/F71</f>
        <v>19895857.620268907</v>
      </c>
      <c r="G72" s="31"/>
      <c r="H72" s="32"/>
      <c r="I72" s="33"/>
    </row>
    <row r="73" spans="1:9" x14ac:dyDescent="0.2">
      <c r="A73" s="30"/>
      <c r="B73" s="47" t="s">
        <v>324</v>
      </c>
      <c r="C73" s="31"/>
      <c r="D73" s="31"/>
      <c r="E73" s="31"/>
      <c r="F73" s="116">
        <f>F37</f>
        <v>118.255</v>
      </c>
      <c r="G73" s="31"/>
      <c r="H73" s="32"/>
      <c r="I73" s="33"/>
    </row>
    <row r="74" spans="1:9" x14ac:dyDescent="0.2">
      <c r="A74" s="30"/>
      <c r="B74" s="47" t="s">
        <v>140</v>
      </c>
      <c r="C74" s="31"/>
      <c r="D74" s="31"/>
      <c r="E74" s="31"/>
      <c r="F74" s="79">
        <f>F72/F73</f>
        <v>168245.38176203042</v>
      </c>
      <c r="G74" s="31"/>
      <c r="H74" s="32"/>
      <c r="I74" s="33"/>
    </row>
    <row r="75" spans="1:9" ht="13.5" thickBot="1" x14ac:dyDescent="0.25">
      <c r="A75" s="30"/>
      <c r="B75" s="45" t="s">
        <v>488</v>
      </c>
      <c r="C75" s="31"/>
      <c r="D75" s="31"/>
      <c r="E75" s="31"/>
      <c r="F75" s="21">
        <f>1+(F40*90/360)</f>
        <v>1.04</v>
      </c>
      <c r="G75" s="31"/>
      <c r="H75" s="32" t="s">
        <v>421</v>
      </c>
      <c r="I75" s="33"/>
    </row>
    <row r="76" spans="1:9" ht="13.5" thickBot="1" x14ac:dyDescent="0.25">
      <c r="A76" s="30"/>
      <c r="B76" s="47" t="s">
        <v>343</v>
      </c>
      <c r="C76" s="31"/>
      <c r="D76" s="31"/>
      <c r="E76" s="31"/>
      <c r="F76" s="192">
        <f>F74*F75</f>
        <v>174975.19703251164</v>
      </c>
      <c r="G76" s="31"/>
      <c r="H76" s="32" t="s">
        <v>289</v>
      </c>
      <c r="I76" s="33"/>
    </row>
    <row r="77" spans="1:9" x14ac:dyDescent="0.2">
      <c r="A77" s="30"/>
      <c r="B77" s="31"/>
      <c r="C77" s="31"/>
      <c r="D77" s="31"/>
      <c r="E77" s="31"/>
      <c r="F77" s="31"/>
      <c r="G77" s="31"/>
      <c r="H77" s="32"/>
      <c r="I77" s="33"/>
    </row>
    <row r="78" spans="1:9" x14ac:dyDescent="0.2">
      <c r="A78" s="30"/>
      <c r="B78" s="70" t="s">
        <v>342</v>
      </c>
      <c r="C78" s="31"/>
      <c r="D78" s="31"/>
      <c r="E78" s="31"/>
      <c r="F78" s="31"/>
      <c r="G78" s="31"/>
      <c r="H78" s="32"/>
      <c r="I78" s="33"/>
    </row>
    <row r="79" spans="1:9" x14ac:dyDescent="0.2">
      <c r="A79" s="30"/>
      <c r="B79" s="47" t="s">
        <v>298</v>
      </c>
      <c r="C79" s="31"/>
      <c r="D79" s="31"/>
      <c r="E79" s="31"/>
      <c r="F79" s="23">
        <f>F36</f>
        <v>20000000</v>
      </c>
      <c r="G79" s="31"/>
      <c r="H79" s="32"/>
      <c r="I79" s="33"/>
    </row>
    <row r="80" spans="1:9" x14ac:dyDescent="0.2">
      <c r="A80" s="30"/>
      <c r="B80" s="47" t="s">
        <v>324</v>
      </c>
      <c r="C80" s="31"/>
      <c r="D80" s="31"/>
      <c r="E80" s="31"/>
      <c r="F80" s="117">
        <f>F37</f>
        <v>118.255</v>
      </c>
      <c r="G80" s="31"/>
      <c r="H80" s="32"/>
      <c r="I80" s="33"/>
    </row>
    <row r="81" spans="1:9" ht="13.5" thickBot="1" x14ac:dyDescent="0.25">
      <c r="A81" s="30"/>
      <c r="B81" s="47" t="s">
        <v>326</v>
      </c>
      <c r="C81" s="31"/>
      <c r="D81" s="31"/>
      <c r="E81" s="31"/>
      <c r="F81" s="129">
        <f>H55</f>
        <v>0.03</v>
      </c>
      <c r="G81" s="31"/>
      <c r="H81" s="32"/>
      <c r="I81" s="33"/>
    </row>
    <row r="82" spans="1:9" ht="13.5" thickBot="1" x14ac:dyDescent="0.25">
      <c r="A82" s="30"/>
      <c r="B82" s="47" t="s">
        <v>344</v>
      </c>
      <c r="C82" s="31"/>
      <c r="D82" s="31"/>
      <c r="E82" s="31"/>
      <c r="F82" s="192">
        <f>(F79/F80)*F81</f>
        <v>5073.7812354657308</v>
      </c>
      <c r="G82" s="31"/>
      <c r="H82" s="32"/>
      <c r="I82" s="33"/>
    </row>
    <row r="83" spans="1:9" x14ac:dyDescent="0.2">
      <c r="A83" s="30"/>
      <c r="B83" s="31"/>
      <c r="C83" s="31"/>
      <c r="D83" s="31"/>
      <c r="E83" s="31"/>
      <c r="F83" s="31"/>
      <c r="G83" s="31"/>
      <c r="H83" s="32"/>
      <c r="I83" s="33"/>
    </row>
    <row r="84" spans="1:9" x14ac:dyDescent="0.2">
      <c r="A84" s="30"/>
      <c r="B84" s="47" t="s">
        <v>345</v>
      </c>
      <c r="C84" s="31"/>
      <c r="D84" s="31"/>
      <c r="E84" s="31"/>
      <c r="F84" s="79">
        <f>F79/F54</f>
        <v>169491.5254237288</v>
      </c>
      <c r="G84" s="31"/>
      <c r="H84" s="32"/>
      <c r="I84" s="33"/>
    </row>
    <row r="85" spans="1:9" ht="13.5" thickBot="1" x14ac:dyDescent="0.25">
      <c r="A85" s="30"/>
      <c r="B85" s="47" t="s">
        <v>351</v>
      </c>
      <c r="C85" s="31"/>
      <c r="D85" s="31"/>
      <c r="E85" s="31"/>
      <c r="F85" s="117">
        <f>-F82*(1+(F40*90/360))</f>
        <v>-5276.73248488436</v>
      </c>
      <c r="G85" s="31"/>
      <c r="H85" s="32" t="s">
        <v>422</v>
      </c>
      <c r="I85" s="33"/>
    </row>
    <row r="86" spans="1:9" ht="13.5" thickBot="1" x14ac:dyDescent="0.25">
      <c r="A86" s="30"/>
      <c r="B86" s="47" t="s">
        <v>347</v>
      </c>
      <c r="C86" s="31"/>
      <c r="D86" s="31"/>
      <c r="E86" s="31"/>
      <c r="F86" s="192">
        <f>F84+F85</f>
        <v>164214.79293884445</v>
      </c>
      <c r="G86" s="31"/>
      <c r="H86" s="32" t="s">
        <v>348</v>
      </c>
      <c r="I86" s="33"/>
    </row>
    <row r="87" spans="1:9" x14ac:dyDescent="0.2">
      <c r="A87" s="30"/>
      <c r="B87" s="31"/>
      <c r="C87" s="31"/>
      <c r="D87" s="31"/>
      <c r="E87" s="31"/>
      <c r="F87" s="31"/>
      <c r="G87" s="31"/>
      <c r="H87" s="32"/>
      <c r="I87" s="33"/>
    </row>
    <row r="88" spans="1:9" x14ac:dyDescent="0.2">
      <c r="A88" s="30"/>
      <c r="B88" s="54" t="s">
        <v>352</v>
      </c>
      <c r="C88" s="31"/>
      <c r="D88" s="31"/>
      <c r="E88" s="31"/>
      <c r="F88" s="31"/>
      <c r="G88" s="31"/>
      <c r="H88" s="32"/>
      <c r="I88" s="33"/>
    </row>
    <row r="89" spans="1:9" x14ac:dyDescent="0.2">
      <c r="A89" s="30"/>
      <c r="B89" s="54" t="s">
        <v>353</v>
      </c>
      <c r="C89" s="31"/>
      <c r="D89" s="31"/>
      <c r="E89" s="31"/>
      <c r="F89" s="31"/>
      <c r="G89" s="31"/>
      <c r="H89" s="32"/>
      <c r="I89" s="33"/>
    </row>
    <row r="90" spans="1:9" x14ac:dyDescent="0.2">
      <c r="A90" s="30"/>
      <c r="B90" s="54"/>
      <c r="C90" s="31"/>
      <c r="D90" s="31"/>
      <c r="E90" s="31"/>
      <c r="F90" s="31"/>
      <c r="G90" s="31"/>
      <c r="H90" s="32"/>
      <c r="I90" s="33"/>
    </row>
    <row r="91" spans="1:9" x14ac:dyDescent="0.2">
      <c r="A91" s="30"/>
      <c r="B91" s="70" t="s">
        <v>420</v>
      </c>
      <c r="C91" s="31"/>
      <c r="D91" s="31"/>
      <c r="E91" s="31"/>
      <c r="F91" s="31"/>
      <c r="G91" s="31"/>
      <c r="H91" s="32"/>
      <c r="I91" s="33"/>
    </row>
    <row r="92" spans="1:9" x14ac:dyDescent="0.2">
      <c r="A92" s="30"/>
      <c r="B92" s="47" t="s">
        <v>62</v>
      </c>
      <c r="C92" s="31"/>
      <c r="D92" s="31"/>
      <c r="E92" s="31"/>
      <c r="F92" s="79">
        <f>F74</f>
        <v>168245.38176203042</v>
      </c>
      <c r="G92" s="31"/>
      <c r="H92" s="32"/>
      <c r="I92" s="33"/>
    </row>
    <row r="93" spans="1:9" x14ac:dyDescent="0.2">
      <c r="A93" s="30"/>
      <c r="B93" s="47" t="s">
        <v>416</v>
      </c>
      <c r="C93" s="31"/>
      <c r="D93" s="31"/>
      <c r="E93" s="31"/>
      <c r="F93" s="79">
        <f>F67</f>
        <v>171188.90695882906</v>
      </c>
      <c r="G93" s="31"/>
      <c r="H93" s="32"/>
      <c r="I93" s="33"/>
    </row>
    <row r="94" spans="1:9" x14ac:dyDescent="0.2">
      <c r="A94" s="30"/>
      <c r="B94" s="47" t="s">
        <v>423</v>
      </c>
      <c r="C94" s="31"/>
      <c r="D94" s="31"/>
      <c r="E94" s="31"/>
      <c r="F94" s="152">
        <f>F93/F92</f>
        <v>1.0174954293899254</v>
      </c>
      <c r="G94" s="31"/>
      <c r="H94" s="32" t="s">
        <v>161</v>
      </c>
      <c r="I94" s="33"/>
    </row>
    <row r="95" spans="1:9" ht="13.5" thickBot="1" x14ac:dyDescent="0.25">
      <c r="A95" s="30"/>
      <c r="B95" s="47" t="s">
        <v>424</v>
      </c>
      <c r="C95" s="31"/>
      <c r="D95" s="31"/>
      <c r="E95" s="31"/>
      <c r="F95" s="153">
        <f>F94-1</f>
        <v>1.7495429389925432E-2</v>
      </c>
      <c r="G95" s="31"/>
      <c r="H95" s="32" t="s">
        <v>63</v>
      </c>
      <c r="I95" s="33"/>
    </row>
    <row r="96" spans="1:9" ht="13.5" thickBot="1" x14ac:dyDescent="0.25">
      <c r="A96" s="30"/>
      <c r="B96" s="47" t="s">
        <v>64</v>
      </c>
      <c r="C96" s="31"/>
      <c r="D96" s="31"/>
      <c r="E96" s="31"/>
      <c r="F96" s="193">
        <f>F95*4</f>
        <v>6.9981717559701728E-2</v>
      </c>
      <c r="G96" s="31"/>
      <c r="H96" s="54"/>
      <c r="I96" s="33"/>
    </row>
    <row r="97" spans="1:9" ht="13.5" thickBot="1" x14ac:dyDescent="0.25">
      <c r="A97" s="55"/>
      <c r="B97" s="56"/>
      <c r="C97" s="56"/>
      <c r="D97" s="56"/>
      <c r="E97" s="56"/>
      <c r="F97" s="56"/>
      <c r="G97" s="56"/>
      <c r="H97" s="57"/>
      <c r="I97" s="58"/>
    </row>
  </sheetData>
  <mergeCells count="4">
    <mergeCell ref="B2:H2"/>
    <mergeCell ref="B4:H7"/>
    <mergeCell ref="B23:H25"/>
    <mergeCell ref="B19:H21"/>
  </mergeCells>
  <phoneticPr fontId="0" type="noConversion"/>
  <printOptions horizontalCentered="1"/>
  <pageMargins left="0.25" right="0.25" top="0.25" bottom="0.25" header="0.5" footer="0.5"/>
  <pageSetup scale="58" orientation="portrait" r:id="rId1"/>
  <headerFooter alignWithMargins="0"/>
  <ignoredErrors>
    <ignoredError sqref="F7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workbookViewId="0"/>
  </sheetViews>
  <sheetFormatPr defaultRowHeight="12.75" x14ac:dyDescent="0.2"/>
  <cols>
    <col min="1" max="1" width="2.83203125" customWidth="1"/>
    <col min="2" max="2" width="46.83203125" customWidth="1"/>
    <col min="3" max="3" width="2.83203125" customWidth="1"/>
    <col min="4" max="4" width="16.83203125" customWidth="1"/>
    <col min="5" max="5" width="2.83203125" customWidth="1"/>
    <col min="6" max="6" width="16.83203125" style="3" customWidth="1"/>
    <col min="7" max="7" width="2.83203125" customWidth="1"/>
    <col min="8" max="8" width="16.83203125" style="3" customWidth="1"/>
    <col min="9" max="9" width="2.83203125" customWidth="1"/>
  </cols>
  <sheetData>
    <row r="1" spans="1:9" x14ac:dyDescent="0.2">
      <c r="A1" s="59"/>
      <c r="B1" s="60"/>
      <c r="C1" s="60"/>
      <c r="D1" s="60"/>
      <c r="E1" s="60"/>
      <c r="F1" s="61"/>
      <c r="G1" s="60"/>
      <c r="H1" s="61"/>
      <c r="I1" s="62"/>
    </row>
    <row r="2" spans="1:9" ht="18.75" x14ac:dyDescent="0.3">
      <c r="A2" s="1"/>
      <c r="B2" s="342" t="s">
        <v>568</v>
      </c>
      <c r="C2" s="342"/>
      <c r="D2" s="342"/>
      <c r="E2" s="346"/>
      <c r="F2" s="346"/>
      <c r="G2" s="346"/>
      <c r="H2" s="346"/>
      <c r="I2" s="2"/>
    </row>
    <row r="3" spans="1:9" x14ac:dyDescent="0.2">
      <c r="A3" s="30"/>
      <c r="B3" s="8"/>
      <c r="C3" s="31"/>
      <c r="D3" s="31"/>
      <c r="E3" s="31"/>
      <c r="F3" s="32"/>
      <c r="G3" s="31"/>
      <c r="H3" s="32"/>
      <c r="I3" s="33"/>
    </row>
    <row r="4" spans="1:9" x14ac:dyDescent="0.2">
      <c r="A4" s="30"/>
      <c r="B4" s="344" t="s">
        <v>569</v>
      </c>
      <c r="C4" s="354"/>
      <c r="D4" s="354"/>
      <c r="E4" s="354"/>
      <c r="F4" s="354"/>
      <c r="G4" s="354"/>
      <c r="H4" s="354"/>
      <c r="I4" s="33"/>
    </row>
    <row r="5" spans="1:9" x14ac:dyDescent="0.2">
      <c r="A5" s="30"/>
      <c r="B5" s="354"/>
      <c r="C5" s="354"/>
      <c r="D5" s="354"/>
      <c r="E5" s="354"/>
      <c r="F5" s="354"/>
      <c r="G5" s="354"/>
      <c r="H5" s="354"/>
      <c r="I5" s="33"/>
    </row>
    <row r="6" spans="1:9" x14ac:dyDescent="0.2">
      <c r="A6" s="30"/>
      <c r="B6" s="354"/>
      <c r="C6" s="354"/>
      <c r="D6" s="354"/>
      <c r="E6" s="354"/>
      <c r="F6" s="354"/>
      <c r="G6" s="354"/>
      <c r="H6" s="354"/>
      <c r="I6" s="33"/>
    </row>
    <row r="7" spans="1:9" x14ac:dyDescent="0.2">
      <c r="A7" s="30"/>
      <c r="B7" s="12"/>
      <c r="C7" s="12"/>
      <c r="D7" s="12"/>
      <c r="E7" s="12"/>
      <c r="F7" s="12"/>
      <c r="G7" s="12"/>
      <c r="H7" s="12"/>
      <c r="I7" s="33"/>
    </row>
    <row r="8" spans="1:9" x14ac:dyDescent="0.2">
      <c r="A8" s="30"/>
      <c r="B8" s="13" t="s">
        <v>570</v>
      </c>
      <c r="C8" s="31"/>
      <c r="D8" s="80" t="s">
        <v>66</v>
      </c>
      <c r="E8" s="31"/>
      <c r="F8" s="80" t="s">
        <v>65</v>
      </c>
      <c r="G8" s="31"/>
      <c r="H8" s="80" t="s">
        <v>67</v>
      </c>
      <c r="I8" s="33"/>
    </row>
    <row r="9" spans="1:9" x14ac:dyDescent="0.2">
      <c r="A9" s="30"/>
      <c r="B9" s="81" t="s">
        <v>68</v>
      </c>
      <c r="C9" s="31"/>
      <c r="D9" s="82">
        <v>0.75</v>
      </c>
      <c r="E9" s="82"/>
      <c r="F9" s="83">
        <v>0.6</v>
      </c>
      <c r="G9" s="82"/>
      <c r="H9" s="83">
        <v>0.5</v>
      </c>
      <c r="I9" s="33"/>
    </row>
    <row r="10" spans="1:9" x14ac:dyDescent="0.2">
      <c r="A10" s="30"/>
      <c r="B10" s="81" t="s">
        <v>69</v>
      </c>
      <c r="C10" s="31"/>
      <c r="D10" s="82">
        <v>1</v>
      </c>
      <c r="E10" s="82"/>
      <c r="F10" s="83">
        <v>0.9</v>
      </c>
      <c r="G10" s="82"/>
      <c r="H10" s="83">
        <v>0.5</v>
      </c>
      <c r="I10" s="33"/>
    </row>
    <row r="11" spans="1:9" x14ac:dyDescent="0.2">
      <c r="A11" s="30"/>
      <c r="B11" s="12"/>
      <c r="C11" s="12"/>
      <c r="D11" s="12"/>
      <c r="E11" s="12"/>
      <c r="F11" s="12"/>
      <c r="G11" s="12"/>
      <c r="H11" s="12"/>
      <c r="I11" s="33"/>
    </row>
    <row r="12" spans="1:9" x14ac:dyDescent="0.2">
      <c r="A12" s="30"/>
      <c r="B12" s="360" t="s">
        <v>571</v>
      </c>
      <c r="C12" s="354"/>
      <c r="D12" s="354"/>
      <c r="E12" s="354"/>
      <c r="F12" s="354"/>
      <c r="G12" s="354"/>
      <c r="H12" s="354"/>
      <c r="I12" s="33"/>
    </row>
    <row r="13" spans="1:9" x14ac:dyDescent="0.2">
      <c r="A13" s="30"/>
      <c r="B13" s="354"/>
      <c r="C13" s="354"/>
      <c r="D13" s="354"/>
      <c r="E13" s="354"/>
      <c r="F13" s="354"/>
      <c r="G13" s="354"/>
      <c r="H13" s="354"/>
      <c r="I13" s="33"/>
    </row>
    <row r="14" spans="1:9" x14ac:dyDescent="0.2">
      <c r="A14" s="30"/>
      <c r="B14" s="354"/>
      <c r="C14" s="354"/>
      <c r="D14" s="354"/>
      <c r="E14" s="354"/>
      <c r="F14" s="354"/>
      <c r="G14" s="354"/>
      <c r="H14" s="354"/>
      <c r="I14" s="33"/>
    </row>
    <row r="15" spans="1:9" x14ac:dyDescent="0.2">
      <c r="A15" s="30"/>
      <c r="B15" s="9"/>
      <c r="C15" s="31"/>
      <c r="D15" s="31"/>
      <c r="E15" s="31"/>
      <c r="F15" s="32"/>
      <c r="G15" s="31"/>
      <c r="H15" s="32"/>
      <c r="I15" s="33"/>
    </row>
    <row r="16" spans="1:9" x14ac:dyDescent="0.2">
      <c r="A16" s="30"/>
      <c r="B16" s="31"/>
      <c r="C16" s="31"/>
      <c r="D16" s="31"/>
      <c r="E16" s="31"/>
      <c r="F16" s="43" t="s">
        <v>71</v>
      </c>
      <c r="G16" s="31"/>
      <c r="H16" s="32"/>
      <c r="I16" s="33"/>
    </row>
    <row r="17" spans="1:9" x14ac:dyDescent="0.2">
      <c r="A17" s="30"/>
      <c r="B17" s="13" t="s">
        <v>247</v>
      </c>
      <c r="C17" s="31"/>
      <c r="D17" s="14" t="s">
        <v>246</v>
      </c>
      <c r="E17" s="31"/>
      <c r="F17" s="84" t="s">
        <v>72</v>
      </c>
      <c r="G17" s="31"/>
      <c r="H17" s="85"/>
      <c r="I17" s="33"/>
    </row>
    <row r="18" spans="1:9" x14ac:dyDescent="0.2">
      <c r="A18" s="30"/>
      <c r="B18" s="31" t="s">
        <v>74</v>
      </c>
      <c r="C18" s="31"/>
      <c r="D18" s="17">
        <v>4.7</v>
      </c>
      <c r="E18" s="31"/>
      <c r="F18" s="37"/>
      <c r="G18" s="31"/>
      <c r="H18" s="37"/>
      <c r="I18" s="33"/>
    </row>
    <row r="19" spans="1:9" x14ac:dyDescent="0.2">
      <c r="A19" s="30"/>
      <c r="B19" s="31" t="s">
        <v>75</v>
      </c>
      <c r="C19" s="31"/>
      <c r="D19" s="17">
        <v>4.71</v>
      </c>
      <c r="E19" s="31"/>
      <c r="F19" s="86">
        <f>(D18-D19)/(D19)*(360/90)</f>
        <v>-8.4925690021229617E-3</v>
      </c>
      <c r="G19" s="31"/>
      <c r="H19" s="37"/>
      <c r="I19" s="33"/>
    </row>
    <row r="20" spans="1:9" x14ac:dyDescent="0.2">
      <c r="A20" s="30"/>
      <c r="B20" s="31" t="s">
        <v>76</v>
      </c>
      <c r="C20" s="31"/>
      <c r="D20" s="17">
        <v>4.72</v>
      </c>
      <c r="E20" s="31"/>
      <c r="F20" s="86">
        <f>(D18-D20)/(D20)*(360/180)</f>
        <v>-8.4745762711862602E-3</v>
      </c>
      <c r="G20" s="31"/>
      <c r="H20" s="87"/>
      <c r="I20" s="33"/>
    </row>
    <row r="21" spans="1:9" x14ac:dyDescent="0.2">
      <c r="A21" s="30"/>
      <c r="B21" s="31" t="s">
        <v>77</v>
      </c>
      <c r="C21" s="31"/>
      <c r="D21" s="17">
        <v>4.74</v>
      </c>
      <c r="E21" s="31"/>
      <c r="F21" s="86">
        <f>(D18-D21)/(D21)*(360/360)</f>
        <v>-8.4388185654008518E-3</v>
      </c>
      <c r="G21" s="31"/>
      <c r="H21" s="87"/>
      <c r="I21" s="33"/>
    </row>
    <row r="22" spans="1:9" x14ac:dyDescent="0.2">
      <c r="A22" s="30"/>
      <c r="B22" s="31"/>
      <c r="C22" s="31"/>
      <c r="D22" s="16"/>
      <c r="E22" s="31"/>
      <c r="F22" s="87"/>
      <c r="G22" s="31"/>
      <c r="H22" s="87"/>
      <c r="I22" s="33"/>
    </row>
    <row r="23" spans="1:9" x14ac:dyDescent="0.2">
      <c r="A23" s="30"/>
      <c r="B23" s="13" t="s">
        <v>240</v>
      </c>
      <c r="C23" s="31"/>
      <c r="D23" s="80" t="s">
        <v>66</v>
      </c>
      <c r="E23" s="31"/>
      <c r="F23" s="80" t="s">
        <v>65</v>
      </c>
      <c r="G23" s="31"/>
      <c r="H23" s="80" t="s">
        <v>67</v>
      </c>
      <c r="I23" s="33"/>
    </row>
    <row r="24" spans="1:9" x14ac:dyDescent="0.2">
      <c r="A24" s="30"/>
      <c r="B24" s="9" t="s">
        <v>47</v>
      </c>
      <c r="C24" s="31"/>
      <c r="D24" s="85">
        <v>3000000</v>
      </c>
      <c r="E24" s="31"/>
      <c r="F24" s="36"/>
      <c r="G24" s="31"/>
      <c r="H24" s="36"/>
      <c r="I24" s="33"/>
    </row>
    <row r="25" spans="1:9" x14ac:dyDescent="0.2">
      <c r="A25" s="30"/>
      <c r="B25" s="9" t="s">
        <v>48</v>
      </c>
      <c r="C25" s="31"/>
      <c r="D25" s="31"/>
      <c r="E25" s="31"/>
      <c r="F25" s="85">
        <v>2000000</v>
      </c>
      <c r="G25" s="31"/>
      <c r="H25" s="36"/>
      <c r="I25" s="33"/>
    </row>
    <row r="26" spans="1:9" x14ac:dyDescent="0.2">
      <c r="A26" s="30"/>
      <c r="B26" s="9" t="s">
        <v>49</v>
      </c>
      <c r="C26" s="31"/>
      <c r="D26" s="31"/>
      <c r="E26" s="31"/>
      <c r="F26" s="36"/>
      <c r="G26" s="31"/>
      <c r="H26" s="85">
        <v>1000000</v>
      </c>
      <c r="I26" s="33"/>
    </row>
    <row r="27" spans="1:9" x14ac:dyDescent="0.2">
      <c r="A27" s="30"/>
      <c r="B27" s="31"/>
      <c r="C27" s="31"/>
      <c r="D27" s="31"/>
      <c r="E27" s="31"/>
      <c r="F27" s="32"/>
      <c r="G27" s="31"/>
      <c r="H27" s="32"/>
      <c r="I27" s="33"/>
    </row>
    <row r="28" spans="1:9" x14ac:dyDescent="0.2">
      <c r="A28" s="30"/>
      <c r="B28" s="13" t="s">
        <v>70</v>
      </c>
      <c r="C28" s="52"/>
      <c r="D28" s="52"/>
      <c r="E28" s="52"/>
      <c r="F28" s="53"/>
      <c r="G28" s="52"/>
      <c r="H28" s="53"/>
      <c r="I28" s="33"/>
    </row>
    <row r="29" spans="1:9" x14ac:dyDescent="0.2">
      <c r="A29" s="30"/>
      <c r="B29" s="31" t="s">
        <v>61</v>
      </c>
      <c r="C29" s="31"/>
      <c r="D29" s="31"/>
      <c r="E29" s="31"/>
      <c r="F29" s="32"/>
      <c r="G29" s="31"/>
      <c r="H29" s="32"/>
      <c r="I29" s="33"/>
    </row>
    <row r="30" spans="1:9" x14ac:dyDescent="0.2">
      <c r="A30" s="30"/>
      <c r="B30" s="232" t="s">
        <v>572</v>
      </c>
      <c r="C30" s="31"/>
      <c r="D30" s="31"/>
      <c r="E30" s="31"/>
      <c r="F30" s="32"/>
      <c r="G30" s="31"/>
      <c r="H30" s="32"/>
      <c r="I30" s="33"/>
    </row>
    <row r="31" spans="1:9" x14ac:dyDescent="0.2">
      <c r="A31" s="30"/>
      <c r="B31" s="232" t="s">
        <v>573</v>
      </c>
      <c r="C31" s="31"/>
      <c r="D31" s="31"/>
      <c r="E31" s="31"/>
      <c r="F31" s="32"/>
      <c r="G31" s="31"/>
      <c r="H31" s="32"/>
      <c r="I31" s="33"/>
    </row>
    <row r="32" spans="1:9" x14ac:dyDescent="0.2">
      <c r="A32" s="30"/>
      <c r="B32" s="31"/>
      <c r="C32" s="31"/>
      <c r="D32" s="31"/>
      <c r="E32" s="31"/>
      <c r="F32" s="32"/>
      <c r="G32" s="31"/>
      <c r="H32" s="32"/>
      <c r="I32" s="33"/>
    </row>
    <row r="33" spans="1:9" x14ac:dyDescent="0.2">
      <c r="A33" s="30"/>
      <c r="B33" s="13" t="s">
        <v>484</v>
      </c>
      <c r="C33" s="31"/>
      <c r="D33" s="80" t="s">
        <v>66</v>
      </c>
      <c r="E33" s="31"/>
      <c r="F33" s="80" t="s">
        <v>65</v>
      </c>
      <c r="G33" s="31"/>
      <c r="H33" s="80" t="s">
        <v>67</v>
      </c>
      <c r="I33" s="33"/>
    </row>
    <row r="34" spans="1:9" x14ac:dyDescent="0.2">
      <c r="A34" s="30"/>
      <c r="B34" s="9" t="s">
        <v>47</v>
      </c>
      <c r="C34" s="31"/>
      <c r="D34" s="189">
        <f>D9</f>
        <v>0.75</v>
      </c>
      <c r="E34" s="31"/>
      <c r="F34" s="32"/>
      <c r="G34" s="31"/>
      <c r="H34" s="32"/>
      <c r="I34" s="33"/>
    </row>
    <row r="35" spans="1:9" x14ac:dyDescent="0.2">
      <c r="A35" s="30"/>
      <c r="B35" s="9" t="s">
        <v>48</v>
      </c>
      <c r="C35" s="31"/>
      <c r="D35" s="31"/>
      <c r="E35" s="31"/>
      <c r="F35" s="189">
        <f>F9</f>
        <v>0.6</v>
      </c>
      <c r="G35" s="43"/>
      <c r="H35" s="43"/>
      <c r="I35" s="33"/>
    </row>
    <row r="36" spans="1:9" x14ac:dyDescent="0.2">
      <c r="A36" s="30"/>
      <c r="B36" s="9" t="s">
        <v>49</v>
      </c>
      <c r="C36" s="31"/>
      <c r="D36" s="31"/>
      <c r="E36" s="31"/>
      <c r="F36" s="43"/>
      <c r="G36" s="43"/>
      <c r="H36" s="189">
        <f>H9</f>
        <v>0.5</v>
      </c>
      <c r="I36" s="33"/>
    </row>
    <row r="37" spans="1:9" x14ac:dyDescent="0.2">
      <c r="A37" s="30"/>
      <c r="B37" s="31"/>
      <c r="C37" s="31"/>
      <c r="D37" s="31"/>
      <c r="E37" s="31"/>
      <c r="F37" s="32"/>
      <c r="G37" s="31"/>
      <c r="H37" s="32"/>
      <c r="I37" s="33"/>
    </row>
    <row r="38" spans="1:9" x14ac:dyDescent="0.2">
      <c r="A38" s="30"/>
      <c r="B38" s="13" t="s">
        <v>73</v>
      </c>
      <c r="C38" s="31"/>
      <c r="D38" s="31"/>
      <c r="E38" s="31"/>
      <c r="F38" s="32"/>
      <c r="G38" s="31"/>
      <c r="H38" s="32"/>
      <c r="I38" s="33"/>
    </row>
    <row r="39" spans="1:9" x14ac:dyDescent="0.2">
      <c r="A39" s="30"/>
      <c r="B39" s="9" t="s">
        <v>47</v>
      </c>
      <c r="C39" s="31"/>
      <c r="D39" s="190">
        <f>D24*D34</f>
        <v>2250000</v>
      </c>
      <c r="E39" s="31"/>
      <c r="F39" s="32"/>
      <c r="G39" s="31"/>
      <c r="H39" s="32"/>
      <c r="I39" s="33"/>
    </row>
    <row r="40" spans="1:9" x14ac:dyDescent="0.2">
      <c r="A40" s="30"/>
      <c r="B40" s="9" t="s">
        <v>48</v>
      </c>
      <c r="C40" s="31"/>
      <c r="D40" s="31"/>
      <c r="E40" s="31"/>
      <c r="F40" s="190">
        <f>F25*F35</f>
        <v>1200000</v>
      </c>
      <c r="G40" s="31"/>
      <c r="H40" s="32"/>
      <c r="I40" s="33"/>
    </row>
    <row r="41" spans="1:9" x14ac:dyDescent="0.2">
      <c r="A41" s="30"/>
      <c r="B41" s="9" t="s">
        <v>49</v>
      </c>
      <c r="C41" s="31"/>
      <c r="D41" s="52"/>
      <c r="E41" s="52"/>
      <c r="F41" s="53"/>
      <c r="G41" s="52"/>
      <c r="H41" s="191">
        <f>H26*H36</f>
        <v>500000</v>
      </c>
      <c r="I41" s="33"/>
    </row>
    <row r="42" spans="1:9" x14ac:dyDescent="0.2">
      <c r="A42" s="30"/>
      <c r="B42" s="31" t="s">
        <v>78</v>
      </c>
      <c r="C42" s="31"/>
      <c r="D42" s="48">
        <f>D39/D19</f>
        <v>477707.00636942673</v>
      </c>
      <c r="E42" s="88"/>
      <c r="F42" s="48">
        <f>F40/D20</f>
        <v>254237.28813559323</v>
      </c>
      <c r="G42" s="88"/>
      <c r="H42" s="48">
        <f>H41/D21</f>
        <v>105485.23206751054</v>
      </c>
      <c r="I42" s="33"/>
    </row>
    <row r="43" spans="1:9" x14ac:dyDescent="0.2">
      <c r="A43" s="30"/>
      <c r="B43" s="31"/>
      <c r="C43" s="31"/>
      <c r="D43" s="48"/>
      <c r="E43" s="88"/>
      <c r="F43" s="48"/>
      <c r="G43" s="88"/>
      <c r="H43" s="48"/>
      <c r="I43" s="33"/>
    </row>
    <row r="44" spans="1:9" ht="13.5" thickBot="1" x14ac:dyDescent="0.25">
      <c r="A44" s="55"/>
      <c r="B44" s="56"/>
      <c r="C44" s="56"/>
      <c r="D44" s="56"/>
      <c r="E44" s="56"/>
      <c r="F44" s="57"/>
      <c r="G44" s="56"/>
      <c r="H44" s="57"/>
      <c r="I44" s="58"/>
    </row>
  </sheetData>
  <mergeCells count="3">
    <mergeCell ref="B2:H2"/>
    <mergeCell ref="B4:H6"/>
    <mergeCell ref="B12:H14"/>
  </mergeCells>
  <phoneticPr fontId="0" type="noConversion"/>
  <printOptions horizontalCentered="1"/>
  <pageMargins left="0.75" right="0.75" top="1" bottom="1" header="0.5" footer="0.5"/>
  <pageSetup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workbookViewId="0"/>
  </sheetViews>
  <sheetFormatPr defaultRowHeight="12.75" x14ac:dyDescent="0.2"/>
  <cols>
    <col min="1" max="1" width="2.83203125" customWidth="1"/>
    <col min="2" max="2" width="62.83203125" customWidth="1"/>
    <col min="3" max="3" width="2.83203125" customWidth="1"/>
    <col min="4" max="4" width="16.83203125" customWidth="1"/>
    <col min="5" max="5" width="2.83203125" customWidth="1"/>
    <col min="6" max="6" width="16.83203125" style="3" customWidth="1"/>
    <col min="7" max="7" width="2.83203125" customWidth="1"/>
  </cols>
  <sheetData>
    <row r="1" spans="1:7" x14ac:dyDescent="0.2">
      <c r="A1" s="59"/>
      <c r="B1" s="60"/>
      <c r="C1" s="60"/>
      <c r="D1" s="60"/>
      <c r="E1" s="60"/>
      <c r="F1" s="61"/>
      <c r="G1" s="62"/>
    </row>
    <row r="2" spans="1:7" ht="18.75" x14ac:dyDescent="0.3">
      <c r="A2" s="1"/>
      <c r="B2" s="342" t="s">
        <v>574</v>
      </c>
      <c r="C2" s="342"/>
      <c r="D2" s="342"/>
      <c r="E2" s="346"/>
      <c r="F2" s="346"/>
      <c r="G2" s="2"/>
    </row>
    <row r="3" spans="1:7" x14ac:dyDescent="0.2">
      <c r="A3" s="30"/>
      <c r="B3" s="8"/>
      <c r="C3" s="31"/>
      <c r="D3" s="31"/>
      <c r="E3" s="31"/>
      <c r="F3" s="32"/>
      <c r="G3" s="33"/>
    </row>
    <row r="4" spans="1:7" x14ac:dyDescent="0.2">
      <c r="A4" s="30"/>
      <c r="B4" s="353" t="s">
        <v>506</v>
      </c>
      <c r="C4" s="354"/>
      <c r="D4" s="354"/>
      <c r="E4" s="354"/>
      <c r="F4" s="354"/>
      <c r="G4" s="33"/>
    </row>
    <row r="5" spans="1:7" x14ac:dyDescent="0.2">
      <c r="A5" s="30"/>
      <c r="B5" s="354"/>
      <c r="C5" s="354"/>
      <c r="D5" s="354"/>
      <c r="E5" s="354"/>
      <c r="F5" s="354"/>
      <c r="G5" s="33"/>
    </row>
    <row r="6" spans="1:7" x14ac:dyDescent="0.2">
      <c r="A6" s="30"/>
      <c r="B6" s="354"/>
      <c r="C6" s="354"/>
      <c r="D6" s="354"/>
      <c r="E6" s="354"/>
      <c r="F6" s="354"/>
      <c r="G6" s="33"/>
    </row>
    <row r="7" spans="1:7" x14ac:dyDescent="0.2">
      <c r="A7" s="30"/>
      <c r="B7" s="354"/>
      <c r="C7" s="354"/>
      <c r="D7" s="354"/>
      <c r="E7" s="354"/>
      <c r="F7" s="354"/>
      <c r="G7" s="33"/>
    </row>
    <row r="8" spans="1:7" x14ac:dyDescent="0.2">
      <c r="A8" s="30"/>
      <c r="B8" s="95"/>
      <c r="C8" s="95"/>
      <c r="D8" s="95"/>
      <c r="E8" s="95"/>
      <c r="F8" s="95"/>
      <c r="G8" s="33"/>
    </row>
    <row r="9" spans="1:7" ht="12.75" customHeight="1" x14ac:dyDescent="0.2">
      <c r="A9" s="30"/>
      <c r="B9" s="361" t="s">
        <v>511</v>
      </c>
      <c r="C9" s="361"/>
      <c r="D9" s="361"/>
      <c r="E9" s="361"/>
      <c r="F9" s="361"/>
      <c r="G9" s="33"/>
    </row>
    <row r="10" spans="1:7" x14ac:dyDescent="0.2">
      <c r="A10" s="30"/>
      <c r="B10" s="361"/>
      <c r="C10" s="361"/>
      <c r="D10" s="361"/>
      <c r="E10" s="361"/>
      <c r="F10" s="361"/>
      <c r="G10" s="33"/>
    </row>
    <row r="11" spans="1:7" x14ac:dyDescent="0.2">
      <c r="A11" s="30"/>
      <c r="B11" s="361"/>
      <c r="C11" s="361"/>
      <c r="D11" s="361"/>
      <c r="E11" s="361"/>
      <c r="F11" s="361"/>
      <c r="G11" s="33"/>
    </row>
    <row r="12" spans="1:7" x14ac:dyDescent="0.2">
      <c r="A12" s="30"/>
      <c r="B12" s="361"/>
      <c r="C12" s="361"/>
      <c r="D12" s="361"/>
      <c r="E12" s="361"/>
      <c r="F12" s="361"/>
      <c r="G12" s="33"/>
    </row>
    <row r="13" spans="1:7" x14ac:dyDescent="0.2">
      <c r="A13" s="30"/>
      <c r="B13" s="361"/>
      <c r="C13" s="361"/>
      <c r="D13" s="361"/>
      <c r="E13" s="361"/>
      <c r="F13" s="361"/>
      <c r="G13" s="33"/>
    </row>
    <row r="14" spans="1:7" x14ac:dyDescent="0.2">
      <c r="A14" s="30"/>
      <c r="B14" s="361"/>
      <c r="C14" s="361"/>
      <c r="D14" s="361"/>
      <c r="E14" s="361"/>
      <c r="F14" s="361"/>
      <c r="G14" s="33"/>
    </row>
    <row r="15" spans="1:7" x14ac:dyDescent="0.2">
      <c r="A15" s="30"/>
      <c r="B15" s="361"/>
      <c r="C15" s="361"/>
      <c r="D15" s="361"/>
      <c r="E15" s="361"/>
      <c r="F15" s="361"/>
      <c r="G15" s="33"/>
    </row>
    <row r="16" spans="1:7" x14ac:dyDescent="0.2">
      <c r="A16" s="30"/>
      <c r="B16" s="361"/>
      <c r="C16" s="361"/>
      <c r="D16" s="361"/>
      <c r="E16" s="361"/>
      <c r="F16" s="361"/>
      <c r="G16" s="33"/>
    </row>
    <row r="17" spans="1:7" x14ac:dyDescent="0.2">
      <c r="A17" s="30"/>
      <c r="B17" s="361"/>
      <c r="C17" s="361"/>
      <c r="D17" s="361"/>
      <c r="E17" s="361"/>
      <c r="F17" s="361"/>
      <c r="G17" s="33"/>
    </row>
    <row r="18" spans="1:7" ht="13.5" thickBot="1" x14ac:dyDescent="0.25">
      <c r="A18" s="30"/>
      <c r="B18" s="12"/>
      <c r="C18" s="12"/>
      <c r="D18" s="12"/>
      <c r="E18" s="12"/>
      <c r="F18" s="12"/>
      <c r="G18" s="33"/>
    </row>
    <row r="19" spans="1:7" x14ac:dyDescent="0.2">
      <c r="A19" s="30"/>
      <c r="B19" s="198" t="s">
        <v>50</v>
      </c>
      <c r="C19" s="199"/>
      <c r="D19" s="199">
        <v>33.4</v>
      </c>
      <c r="E19" s="12"/>
      <c r="F19" s="12"/>
      <c r="G19" s="33"/>
    </row>
    <row r="20" spans="1:7" x14ac:dyDescent="0.2">
      <c r="A20" s="30"/>
      <c r="B20" s="201" t="s">
        <v>52</v>
      </c>
      <c r="C20" s="202"/>
      <c r="D20" s="202">
        <v>32.4</v>
      </c>
      <c r="E20" s="12"/>
      <c r="F20" s="12"/>
      <c r="G20" s="33"/>
    </row>
    <row r="21" spans="1:7" x14ac:dyDescent="0.2">
      <c r="A21" s="30"/>
      <c r="B21" s="201" t="s">
        <v>129</v>
      </c>
      <c r="C21" s="203"/>
      <c r="D21" s="203">
        <v>1.4999999999999999E-2</v>
      </c>
      <c r="E21" s="12"/>
      <c r="F21" s="12"/>
      <c r="G21" s="33"/>
    </row>
    <row r="22" spans="1:7" x14ac:dyDescent="0.2">
      <c r="A22" s="30"/>
      <c r="B22" s="201" t="s">
        <v>23</v>
      </c>
      <c r="C22" s="203"/>
      <c r="D22" s="203">
        <v>6.5000000000000002E-2</v>
      </c>
      <c r="E22" s="12"/>
      <c r="F22" s="12"/>
      <c r="G22" s="33"/>
    </row>
    <row r="23" spans="1:7" ht="13.5" thickBot="1" x14ac:dyDescent="0.25">
      <c r="A23" s="30"/>
      <c r="B23" s="204" t="s">
        <v>53</v>
      </c>
      <c r="C23" s="212"/>
      <c r="D23" s="212" t="s">
        <v>22</v>
      </c>
      <c r="E23" s="12"/>
      <c r="F23" s="12"/>
      <c r="G23" s="33"/>
    </row>
    <row r="24" spans="1:7" x14ac:dyDescent="0.2">
      <c r="A24" s="30"/>
      <c r="B24" s="201"/>
      <c r="C24" s="211"/>
      <c r="D24" s="211"/>
      <c r="E24" s="12"/>
      <c r="F24" s="12"/>
      <c r="G24" s="33"/>
    </row>
    <row r="25" spans="1:7" x14ac:dyDescent="0.2">
      <c r="A25" s="30"/>
      <c r="B25" s="343" t="s">
        <v>512</v>
      </c>
      <c r="C25" s="343"/>
      <c r="D25" s="343"/>
      <c r="E25" s="343"/>
      <c r="F25" s="343"/>
      <c r="G25" s="33"/>
    </row>
    <row r="26" spans="1:7" x14ac:dyDescent="0.2">
      <c r="A26" s="30"/>
      <c r="B26" s="343"/>
      <c r="C26" s="343"/>
      <c r="D26" s="343"/>
      <c r="E26" s="343"/>
      <c r="F26" s="343"/>
      <c r="G26" s="33"/>
    </row>
    <row r="27" spans="1:7" x14ac:dyDescent="0.2">
      <c r="A27" s="30"/>
      <c r="B27" s="31"/>
      <c r="C27" s="31"/>
      <c r="D27" s="31"/>
      <c r="E27" s="31"/>
      <c r="F27" s="32"/>
      <c r="G27" s="33"/>
    </row>
    <row r="28" spans="1:7" x14ac:dyDescent="0.2">
      <c r="A28" s="30"/>
      <c r="B28" s="13" t="s">
        <v>247</v>
      </c>
      <c r="C28" s="31"/>
      <c r="D28" s="14" t="s">
        <v>246</v>
      </c>
      <c r="E28" s="31"/>
      <c r="F28" s="34"/>
      <c r="G28" s="33"/>
    </row>
    <row r="29" spans="1:7" x14ac:dyDescent="0.2">
      <c r="A29" s="30"/>
      <c r="B29" s="9" t="s">
        <v>51</v>
      </c>
      <c r="C29" s="31"/>
      <c r="D29" s="85">
        <v>7000000</v>
      </c>
      <c r="E29" s="31"/>
      <c r="F29" s="36"/>
      <c r="G29" s="33"/>
    </row>
    <row r="30" spans="1:7" x14ac:dyDescent="0.2">
      <c r="A30" s="30"/>
      <c r="B30" s="31" t="s">
        <v>50</v>
      </c>
      <c r="C30" s="31"/>
      <c r="D30" s="17">
        <v>33.4</v>
      </c>
      <c r="E30" s="31"/>
      <c r="F30" s="37"/>
      <c r="G30" s="33"/>
    </row>
    <row r="31" spans="1:7" x14ac:dyDescent="0.2">
      <c r="A31" s="30"/>
      <c r="B31" s="31" t="s">
        <v>52</v>
      </c>
      <c r="C31" s="31"/>
      <c r="D31" s="17">
        <v>32.4</v>
      </c>
      <c r="E31" s="31"/>
      <c r="F31" s="37"/>
      <c r="G31" s="33"/>
    </row>
    <row r="32" spans="1:7" x14ac:dyDescent="0.2">
      <c r="A32" s="30"/>
      <c r="B32" s="31" t="s">
        <v>129</v>
      </c>
      <c r="C32" s="31"/>
      <c r="D32" s="16">
        <v>1.4999999999999999E-2</v>
      </c>
      <c r="E32" s="31"/>
      <c r="F32" s="37"/>
      <c r="G32" s="33"/>
    </row>
    <row r="33" spans="1:7" x14ac:dyDescent="0.2">
      <c r="A33" s="30"/>
      <c r="B33" s="31" t="s">
        <v>23</v>
      </c>
      <c r="C33" s="31"/>
      <c r="D33" s="16">
        <v>6.5000000000000002E-2</v>
      </c>
      <c r="E33" s="31"/>
      <c r="F33" s="87"/>
      <c r="G33" s="33"/>
    </row>
    <row r="34" spans="1:7" x14ac:dyDescent="0.2">
      <c r="A34" s="30"/>
      <c r="B34" s="31" t="s">
        <v>53</v>
      </c>
      <c r="C34" s="31"/>
      <c r="D34" s="96" t="s">
        <v>22</v>
      </c>
      <c r="E34" s="31"/>
      <c r="F34" s="87"/>
      <c r="G34" s="33"/>
    </row>
    <row r="35" spans="1:7" x14ac:dyDescent="0.2">
      <c r="A35" s="30"/>
      <c r="B35" s="9" t="s">
        <v>507</v>
      </c>
      <c r="C35" s="31"/>
      <c r="D35" s="15">
        <v>200000</v>
      </c>
      <c r="E35" s="31"/>
      <c r="F35" s="87"/>
      <c r="G35" s="33"/>
    </row>
    <row r="36" spans="1:7" x14ac:dyDescent="0.2">
      <c r="A36" s="30"/>
      <c r="B36" s="31"/>
      <c r="C36" s="31"/>
      <c r="D36" s="16"/>
      <c r="E36" s="31"/>
      <c r="F36" s="87"/>
      <c r="G36" s="33"/>
    </row>
    <row r="37" spans="1:7" x14ac:dyDescent="0.2">
      <c r="A37" s="30"/>
      <c r="B37" s="13" t="s">
        <v>444</v>
      </c>
      <c r="C37" s="31"/>
      <c r="D37" s="14" t="s">
        <v>261</v>
      </c>
      <c r="E37" s="31"/>
      <c r="F37" s="90" t="s">
        <v>304</v>
      </c>
      <c r="G37" s="33"/>
    </row>
    <row r="38" spans="1:7" x14ac:dyDescent="0.2">
      <c r="A38" s="30"/>
      <c r="B38" s="31" t="s">
        <v>257</v>
      </c>
      <c r="C38" s="31"/>
      <c r="D38" s="31"/>
      <c r="E38" s="31"/>
      <c r="F38" s="32"/>
      <c r="G38" s="33"/>
    </row>
    <row r="39" spans="1:7" x14ac:dyDescent="0.2">
      <c r="A39" s="30"/>
      <c r="B39" s="44" t="s">
        <v>54</v>
      </c>
      <c r="C39" s="31"/>
      <c r="D39" s="31"/>
      <c r="E39" s="31"/>
      <c r="F39" s="32"/>
      <c r="G39" s="33"/>
    </row>
    <row r="40" spans="1:7" x14ac:dyDescent="0.2">
      <c r="A40" s="30"/>
      <c r="B40" s="31"/>
      <c r="C40" s="31"/>
      <c r="D40" s="31"/>
      <c r="E40" s="31"/>
      <c r="F40" s="32"/>
      <c r="G40" s="33"/>
    </row>
    <row r="41" spans="1:7" x14ac:dyDescent="0.2">
      <c r="A41" s="30"/>
      <c r="B41" s="47" t="s">
        <v>24</v>
      </c>
      <c r="C41" s="31"/>
      <c r="D41" s="183">
        <f>D29/D30</f>
        <v>209580.83832335329</v>
      </c>
      <c r="E41" s="31"/>
      <c r="F41" s="34" t="s">
        <v>262</v>
      </c>
      <c r="G41" s="33"/>
    </row>
    <row r="42" spans="1:7" x14ac:dyDescent="0.2">
      <c r="A42" s="30"/>
      <c r="B42" s="47"/>
      <c r="C42" s="31"/>
      <c r="D42" s="46"/>
      <c r="E42" s="31"/>
      <c r="F42" s="34"/>
      <c r="G42" s="33"/>
    </row>
    <row r="43" spans="1:7" x14ac:dyDescent="0.2">
      <c r="A43" s="30"/>
      <c r="B43" s="47" t="s">
        <v>25</v>
      </c>
      <c r="C43" s="31"/>
      <c r="D43" s="183">
        <f>D29/D31</f>
        <v>216049.38271604938</v>
      </c>
      <c r="E43" s="31"/>
      <c r="F43" s="34" t="s">
        <v>262</v>
      </c>
      <c r="G43" s="33"/>
    </row>
    <row r="44" spans="1:7" x14ac:dyDescent="0.2">
      <c r="A44" s="30"/>
      <c r="B44" s="47"/>
      <c r="C44" s="31"/>
      <c r="D44" s="65"/>
      <c r="E44" s="31"/>
      <c r="F44" s="34"/>
      <c r="G44" s="33"/>
    </row>
    <row r="45" spans="1:7" x14ac:dyDescent="0.2">
      <c r="A45" s="30"/>
      <c r="B45" s="54" t="s">
        <v>26</v>
      </c>
      <c r="C45" s="31"/>
      <c r="D45" s="65"/>
      <c r="E45" s="31"/>
      <c r="F45" s="34"/>
      <c r="G45" s="33"/>
    </row>
    <row r="46" spans="1:7" x14ac:dyDescent="0.2">
      <c r="A46" s="30"/>
      <c r="B46" s="54" t="s">
        <v>27</v>
      </c>
      <c r="C46" s="31"/>
      <c r="D46" s="31"/>
      <c r="E46" s="31"/>
      <c r="F46" s="34"/>
      <c r="G46" s="33"/>
    </row>
    <row r="47" spans="1:7" x14ac:dyDescent="0.2">
      <c r="A47" s="30"/>
      <c r="B47" s="47"/>
      <c r="C47" s="31"/>
      <c r="D47" s="31"/>
      <c r="E47" s="31"/>
      <c r="F47" s="34"/>
      <c r="G47" s="33"/>
    </row>
    <row r="48" spans="1:7" x14ac:dyDescent="0.2">
      <c r="A48" s="30"/>
      <c r="B48" s="44" t="s">
        <v>55</v>
      </c>
      <c r="C48" s="31"/>
      <c r="D48" s="31"/>
      <c r="E48" s="31"/>
      <c r="F48" s="34"/>
      <c r="G48" s="33"/>
    </row>
    <row r="49" spans="1:7" x14ac:dyDescent="0.2">
      <c r="A49" s="30"/>
      <c r="B49" s="31"/>
      <c r="C49" s="31"/>
      <c r="D49" s="31"/>
      <c r="E49" s="31"/>
      <c r="F49" s="34"/>
      <c r="G49" s="33"/>
    </row>
    <row r="50" spans="1:7" x14ac:dyDescent="0.2">
      <c r="A50" s="30"/>
      <c r="B50" s="47" t="s">
        <v>56</v>
      </c>
      <c r="C50" s="31"/>
      <c r="D50" s="183">
        <f>D29/D31</f>
        <v>216049.38271604938</v>
      </c>
      <c r="E50" s="31"/>
      <c r="F50" s="34" t="s">
        <v>263</v>
      </c>
      <c r="G50" s="33"/>
    </row>
    <row r="51" spans="1:7" x14ac:dyDescent="0.2">
      <c r="A51" s="30"/>
      <c r="B51" s="31"/>
      <c r="C51" s="31"/>
      <c r="D51" s="31"/>
      <c r="E51" s="31"/>
      <c r="F51" s="32"/>
      <c r="G51" s="33"/>
    </row>
    <row r="52" spans="1:7" x14ac:dyDescent="0.2">
      <c r="A52" s="30"/>
      <c r="B52" s="31" t="s">
        <v>28</v>
      </c>
      <c r="C52" s="31"/>
      <c r="D52" s="31"/>
      <c r="E52" s="31"/>
      <c r="F52" s="32"/>
      <c r="G52" s="33"/>
    </row>
    <row r="53" spans="1:7" x14ac:dyDescent="0.2">
      <c r="A53" s="30"/>
      <c r="B53" s="9" t="s">
        <v>508</v>
      </c>
      <c r="C53" s="31"/>
      <c r="D53" s="31"/>
      <c r="E53" s="31"/>
      <c r="F53" s="32"/>
      <c r="G53" s="33"/>
    </row>
    <row r="54" spans="1:7" x14ac:dyDescent="0.2">
      <c r="A54" s="30"/>
      <c r="B54" s="31" t="s">
        <v>29</v>
      </c>
      <c r="C54" s="31"/>
      <c r="D54" s="31"/>
      <c r="E54" s="31"/>
      <c r="F54" s="32"/>
      <c r="G54" s="33"/>
    </row>
    <row r="55" spans="1:7" x14ac:dyDescent="0.2">
      <c r="A55" s="30"/>
      <c r="B55" s="31"/>
      <c r="C55" s="31"/>
      <c r="D55" s="31"/>
      <c r="E55" s="31"/>
      <c r="F55" s="32"/>
      <c r="G55" s="33"/>
    </row>
    <row r="56" spans="1:7" x14ac:dyDescent="0.2">
      <c r="A56" s="30"/>
      <c r="B56" s="44" t="s">
        <v>57</v>
      </c>
      <c r="C56" s="31"/>
      <c r="D56" s="31"/>
      <c r="E56" s="31"/>
      <c r="F56" s="32"/>
      <c r="G56" s="33"/>
    </row>
    <row r="57" spans="1:7" x14ac:dyDescent="0.2">
      <c r="A57" s="30"/>
      <c r="B57" s="31"/>
      <c r="C57" s="31"/>
      <c r="D57" s="31"/>
      <c r="E57" s="31"/>
      <c r="F57" s="32"/>
      <c r="G57" s="33"/>
    </row>
    <row r="58" spans="1:7" x14ac:dyDescent="0.2">
      <c r="A58" s="30"/>
      <c r="B58" s="47" t="s">
        <v>58</v>
      </c>
      <c r="C58" s="31"/>
      <c r="D58" s="97">
        <f>D29</f>
        <v>7000000</v>
      </c>
      <c r="E58" s="31"/>
      <c r="F58" s="32"/>
      <c r="G58" s="33"/>
    </row>
    <row r="59" spans="1:7" x14ac:dyDescent="0.2">
      <c r="A59" s="30"/>
      <c r="B59" s="47" t="s">
        <v>59</v>
      </c>
      <c r="C59" s="31"/>
      <c r="D59" s="21">
        <f>1/(1+D32*90/360)</f>
        <v>0.9962640099626402</v>
      </c>
      <c r="E59" s="31"/>
      <c r="F59" s="32"/>
      <c r="G59" s="33"/>
    </row>
    <row r="60" spans="1:7" x14ac:dyDescent="0.2">
      <c r="A60" s="30"/>
      <c r="B60" s="47" t="s">
        <v>130</v>
      </c>
      <c r="C60" s="31"/>
      <c r="D60" s="23">
        <f>D58*D59</f>
        <v>6973848.0697384812</v>
      </c>
      <c r="E60" s="31"/>
      <c r="F60" s="32"/>
      <c r="G60" s="33"/>
    </row>
    <row r="61" spans="1:7" x14ac:dyDescent="0.2">
      <c r="A61" s="30"/>
      <c r="B61" s="47" t="s">
        <v>60</v>
      </c>
      <c r="C61" s="31"/>
      <c r="D61" s="98">
        <f>D30</f>
        <v>33.4</v>
      </c>
      <c r="E61" s="31"/>
      <c r="F61" s="32"/>
      <c r="G61" s="33"/>
    </row>
    <row r="62" spans="1:7" x14ac:dyDescent="0.2">
      <c r="A62" s="30"/>
      <c r="B62" s="47" t="s">
        <v>131</v>
      </c>
      <c r="C62" s="31"/>
      <c r="D62" s="46">
        <f>D60/D61</f>
        <v>208797.84639935574</v>
      </c>
      <c r="E62" s="31"/>
      <c r="F62" s="32"/>
      <c r="G62" s="33"/>
    </row>
    <row r="63" spans="1:7" x14ac:dyDescent="0.2">
      <c r="A63" s="30"/>
      <c r="B63" s="47"/>
      <c r="C63" s="31"/>
      <c r="D63" s="46"/>
      <c r="E63" s="31"/>
      <c r="F63" s="32"/>
      <c r="G63" s="33"/>
    </row>
    <row r="64" spans="1:7" x14ac:dyDescent="0.2">
      <c r="A64" s="30"/>
      <c r="B64" s="47" t="s">
        <v>132</v>
      </c>
      <c r="C64" s="31"/>
      <c r="D64" s="99">
        <f>D33</f>
        <v>6.5000000000000002E-2</v>
      </c>
      <c r="E64" s="31"/>
      <c r="F64" s="34" t="s">
        <v>263</v>
      </c>
      <c r="G64" s="33"/>
    </row>
    <row r="65" spans="1:7" x14ac:dyDescent="0.2">
      <c r="A65" s="30"/>
      <c r="B65" s="47" t="s">
        <v>133</v>
      </c>
      <c r="C65" s="31"/>
      <c r="D65" s="49">
        <f>1+(D64*90/360)</f>
        <v>1.0162500000000001</v>
      </c>
      <c r="E65" s="31"/>
      <c r="F65" s="34"/>
      <c r="G65" s="33"/>
    </row>
    <row r="66" spans="1:7" x14ac:dyDescent="0.2">
      <c r="A66" s="30"/>
      <c r="B66" s="47" t="s">
        <v>134</v>
      </c>
      <c r="C66" s="31"/>
      <c r="D66" s="183">
        <f>D62*D65</f>
        <v>212190.81140334529</v>
      </c>
      <c r="E66" s="31"/>
      <c r="F66" s="34"/>
      <c r="G66" s="33"/>
    </row>
    <row r="67" spans="1:7" x14ac:dyDescent="0.2">
      <c r="A67" s="30"/>
      <c r="B67" s="47" t="s">
        <v>135</v>
      </c>
      <c r="C67" s="31"/>
      <c r="D67" s="31"/>
      <c r="E67" s="31"/>
      <c r="F67" s="32"/>
      <c r="G67" s="33"/>
    </row>
    <row r="68" spans="1:7" x14ac:dyDescent="0.2">
      <c r="A68" s="30"/>
      <c r="B68" s="47"/>
      <c r="C68" s="31"/>
      <c r="D68" s="31"/>
      <c r="E68" s="31"/>
      <c r="F68" s="32"/>
      <c r="G68" s="33"/>
    </row>
    <row r="69" spans="1:7" x14ac:dyDescent="0.2">
      <c r="A69" s="30"/>
      <c r="B69" s="349" t="s">
        <v>509</v>
      </c>
      <c r="C69" s="348"/>
      <c r="D69" s="348"/>
      <c r="E69" s="348"/>
      <c r="F69" s="348"/>
      <c r="G69" s="33"/>
    </row>
    <row r="70" spans="1:7" x14ac:dyDescent="0.2">
      <c r="A70" s="30"/>
      <c r="B70" s="348"/>
      <c r="C70" s="348"/>
      <c r="D70" s="348"/>
      <c r="E70" s="348"/>
      <c r="F70" s="348"/>
      <c r="G70" s="33"/>
    </row>
    <row r="71" spans="1:7" x14ac:dyDescent="0.2">
      <c r="A71" s="30"/>
      <c r="B71" s="31"/>
      <c r="C71" s="31"/>
      <c r="D71" s="31"/>
      <c r="E71" s="31"/>
      <c r="F71" s="32"/>
      <c r="G71" s="33"/>
    </row>
    <row r="72" spans="1:7" x14ac:dyDescent="0.2">
      <c r="A72" s="30"/>
      <c r="B72" s="70" t="s">
        <v>18</v>
      </c>
      <c r="C72" s="31"/>
      <c r="D72" s="31"/>
      <c r="E72" s="31"/>
      <c r="F72" s="32"/>
      <c r="G72" s="33"/>
    </row>
    <row r="73" spans="1:7" x14ac:dyDescent="0.2">
      <c r="A73" s="30"/>
      <c r="B73" s="349" t="s">
        <v>510</v>
      </c>
      <c r="C73" s="350"/>
      <c r="D73" s="350"/>
      <c r="E73" s="350"/>
      <c r="F73" s="350"/>
      <c r="G73" s="33"/>
    </row>
    <row r="74" spans="1:7" x14ac:dyDescent="0.2">
      <c r="A74" s="30"/>
      <c r="B74" s="350"/>
      <c r="C74" s="350"/>
      <c r="D74" s="350"/>
      <c r="E74" s="350"/>
      <c r="F74" s="350"/>
      <c r="G74" s="33"/>
    </row>
    <row r="75" spans="1:7" x14ac:dyDescent="0.2">
      <c r="A75" s="30"/>
      <c r="B75" s="350"/>
      <c r="C75" s="350"/>
      <c r="D75" s="350"/>
      <c r="E75" s="350"/>
      <c r="F75" s="350"/>
      <c r="G75" s="33"/>
    </row>
    <row r="76" spans="1:7" x14ac:dyDescent="0.2">
      <c r="A76" s="30"/>
      <c r="B76" s="350"/>
      <c r="C76" s="350"/>
      <c r="D76" s="350"/>
      <c r="E76" s="350"/>
      <c r="F76" s="350"/>
      <c r="G76" s="33"/>
    </row>
    <row r="77" spans="1:7" x14ac:dyDescent="0.2">
      <c r="A77" s="30"/>
      <c r="B77" s="350"/>
      <c r="C77" s="350"/>
      <c r="D77" s="350"/>
      <c r="E77" s="350"/>
      <c r="F77" s="350"/>
      <c r="G77" s="33"/>
    </row>
    <row r="78" spans="1:7" ht="13.5" thickBot="1" x14ac:dyDescent="0.25">
      <c r="A78" s="55"/>
      <c r="B78" s="56"/>
      <c r="C78" s="56"/>
      <c r="D78" s="56"/>
      <c r="E78" s="56"/>
      <c r="F78" s="57"/>
      <c r="G78" s="58"/>
    </row>
  </sheetData>
  <mergeCells count="6">
    <mergeCell ref="B73:F77"/>
    <mergeCell ref="B2:F2"/>
    <mergeCell ref="B69:F70"/>
    <mergeCell ref="B4:F7"/>
    <mergeCell ref="B9:F17"/>
    <mergeCell ref="B25:F26"/>
  </mergeCells>
  <phoneticPr fontId="0" type="noConversion"/>
  <printOptions horizontalCentered="1"/>
  <pageMargins left="0.5" right="0.5" top="0.5" bottom="0.5" header="0.5" footer="0.5"/>
  <pageSetup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Pbm10.1</vt:lpstr>
      <vt:lpstr>Pbm10.2</vt:lpstr>
      <vt:lpstr>Pbm10.3</vt:lpstr>
      <vt:lpstr>Pbm10.4</vt:lpstr>
      <vt:lpstr>Pbm10.5</vt:lpstr>
      <vt:lpstr>Pbm10.6</vt:lpstr>
      <vt:lpstr>Pbm10.7</vt:lpstr>
      <vt:lpstr>Pbm10.8</vt:lpstr>
      <vt:lpstr>Pbm10.9</vt:lpstr>
      <vt:lpstr>Pbm10.10</vt:lpstr>
      <vt:lpstr>Pbm10.11</vt:lpstr>
      <vt:lpstr>Pbm10.12</vt:lpstr>
      <vt:lpstr>Pbm10.13</vt:lpstr>
      <vt:lpstr>Pbm10.14</vt:lpstr>
      <vt:lpstr>Pbm10.15</vt:lpstr>
      <vt:lpstr>Pbm10.16</vt:lpstr>
      <vt:lpstr>Pbm10.17</vt:lpstr>
      <vt:lpstr>Pbm10.18</vt:lpstr>
      <vt:lpstr>Pbm10.18b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Moffett</dc:creator>
  <cp:lastModifiedBy>Michael Moffett</cp:lastModifiedBy>
  <cp:lastPrinted>2015-01-29T00:07:27Z</cp:lastPrinted>
  <dcterms:created xsi:type="dcterms:W3CDTF">2002-03-02T16:40:07Z</dcterms:created>
  <dcterms:modified xsi:type="dcterms:W3CDTF">2018-02-21T21:31:16Z</dcterms:modified>
</cp:coreProperties>
</file>