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MBF15e Next\Problems and Solutions\"/>
    </mc:Choice>
  </mc:AlternateContent>
  <bookViews>
    <workbookView xWindow="120" yWindow="15" windowWidth="11700" windowHeight="6540"/>
  </bookViews>
  <sheets>
    <sheet name="Pbm12.1" sheetId="15" r:id="rId1"/>
    <sheet name="Pbm12.2" sheetId="21" r:id="rId2"/>
    <sheet name="Pbm12.3" sheetId="8" r:id="rId3"/>
    <sheet name="Pbm12.4" sheetId="16" r:id="rId4"/>
    <sheet name="Pbm12.5" sheetId="14" r:id="rId5"/>
    <sheet name="Pbm12.6" sheetId="22" r:id="rId6"/>
    <sheet name="Pbm12.7" sheetId="23" r:id="rId7"/>
    <sheet name="Pbm12.8" sheetId="17" r:id="rId8"/>
    <sheet name="Pbm12.9" sheetId="19" r:id="rId9"/>
    <sheet name="Pbm12.10" sheetId="18" r:id="rId10"/>
    <sheet name="PBM12.11" sheetId="24" r:id="rId11"/>
  </sheets>
  <calcPr calcId="162913"/>
</workbook>
</file>

<file path=xl/calcChain.xml><?xml version="1.0" encoding="utf-8"?>
<calcChain xmlns="http://schemas.openxmlformats.org/spreadsheetml/2006/main">
  <c r="D39" i="24" l="1"/>
  <c r="O45" i="24" s="1"/>
  <c r="D37" i="24"/>
  <c r="D15" i="24"/>
  <c r="D19" i="24" s="1"/>
  <c r="D21" i="24" s="1"/>
  <c r="D23" i="24" s="1"/>
  <c r="G44" i="24" l="1"/>
  <c r="G45" i="24"/>
  <c r="D27" i="24"/>
  <c r="D28" i="24" s="1"/>
  <c r="D44" i="24"/>
  <c r="H44" i="24"/>
  <c r="L44" i="24"/>
  <c r="L46" i="24" s="1"/>
  <c r="L51" i="24" s="1"/>
  <c r="D45" i="24"/>
  <c r="H45" i="24"/>
  <c r="L45" i="24"/>
  <c r="E44" i="24"/>
  <c r="E46" i="24" s="1"/>
  <c r="E51" i="24" s="1"/>
  <c r="I44" i="24"/>
  <c r="M44" i="24"/>
  <c r="E45" i="24"/>
  <c r="I45" i="24"/>
  <c r="M45" i="24"/>
  <c r="F44" i="24"/>
  <c r="J44" i="24"/>
  <c r="N44" i="24"/>
  <c r="N46" i="24" s="1"/>
  <c r="N51" i="24" s="1"/>
  <c r="F45" i="24"/>
  <c r="J45" i="24"/>
  <c r="N45" i="24"/>
  <c r="K44" i="24"/>
  <c r="O44" i="24"/>
  <c r="O46" i="24" s="1"/>
  <c r="O51" i="24" s="1"/>
  <c r="K45" i="24"/>
  <c r="H33" i="17"/>
  <c r="J33" i="17"/>
  <c r="F33" i="17"/>
  <c r="D33" i="17"/>
  <c r="J31" i="17"/>
  <c r="H30" i="17"/>
  <c r="H32" i="17"/>
  <c r="F30" i="17"/>
  <c r="F32" i="17" s="1"/>
  <c r="D30" i="17"/>
  <c r="D32" i="17"/>
  <c r="J28" i="17"/>
  <c r="Z13" i="17"/>
  <c r="X13" i="17"/>
  <c r="V13" i="17"/>
  <c r="T13" i="17"/>
  <c r="R13" i="17"/>
  <c r="P13" i="17"/>
  <c r="N13" i="17"/>
  <c r="L13" i="17"/>
  <c r="J13" i="17"/>
  <c r="H13" i="17"/>
  <c r="F13" i="17"/>
  <c r="D13" i="17"/>
  <c r="L17" i="17" s="1"/>
  <c r="J30" i="17"/>
  <c r="H29" i="23"/>
  <c r="G29" i="23"/>
  <c r="F29" i="23"/>
  <c r="E29" i="23"/>
  <c r="D29" i="23"/>
  <c r="D20" i="23"/>
  <c r="D40" i="23"/>
  <c r="D44" i="23" s="1"/>
  <c r="D19" i="23"/>
  <c r="D18" i="23"/>
  <c r="H16" i="23"/>
  <c r="G16" i="23"/>
  <c r="F16" i="23"/>
  <c r="E16" i="23"/>
  <c r="H13" i="23"/>
  <c r="G13" i="23"/>
  <c r="F13" i="23"/>
  <c r="E13" i="23"/>
  <c r="H12" i="23"/>
  <c r="H20" i="23" s="1"/>
  <c r="H40" i="23" s="1"/>
  <c r="H44" i="23" s="1"/>
  <c r="G12" i="23"/>
  <c r="G19" i="23" s="1"/>
  <c r="F12" i="23"/>
  <c r="F20" i="23"/>
  <c r="E12" i="23"/>
  <c r="E11" i="23"/>
  <c r="F11" i="23" s="1"/>
  <c r="H29" i="22"/>
  <c r="G29" i="22"/>
  <c r="F29" i="22"/>
  <c r="E29" i="22"/>
  <c r="D29" i="22"/>
  <c r="H20" i="22"/>
  <c r="H40" i="22"/>
  <c r="H44" i="22" s="1"/>
  <c r="G20" i="22"/>
  <c r="G40" i="22"/>
  <c r="G44" i="22"/>
  <c r="F20" i="22"/>
  <c r="F40" i="22" s="1"/>
  <c r="F44" i="22" s="1"/>
  <c r="E20" i="22"/>
  <c r="E40" i="22" s="1"/>
  <c r="E44" i="22" s="1"/>
  <c r="D20" i="22"/>
  <c r="D19" i="22"/>
  <c r="D23" i="22" s="1"/>
  <c r="D18" i="22"/>
  <c r="H16" i="22"/>
  <c r="G16" i="22"/>
  <c r="F16" i="22"/>
  <c r="E16" i="22"/>
  <c r="H13" i="22"/>
  <c r="H19" i="22" s="1"/>
  <c r="G13" i="22"/>
  <c r="G19" i="22" s="1"/>
  <c r="G23" i="22" s="1"/>
  <c r="F13" i="22"/>
  <c r="F19" i="22"/>
  <c r="F23" i="22" s="1"/>
  <c r="E13" i="22"/>
  <c r="E19" i="22"/>
  <c r="E23" i="22" s="1"/>
  <c r="E11" i="22"/>
  <c r="E18" i="22" s="1"/>
  <c r="F19" i="23"/>
  <c r="F23" i="23" s="1"/>
  <c r="D27" i="15"/>
  <c r="D29" i="15" s="1"/>
  <c r="D31" i="15" s="1"/>
  <c r="D20" i="8"/>
  <c r="D32" i="8" s="1"/>
  <c r="D28" i="8"/>
  <c r="D31" i="8"/>
  <c r="D33" i="8" s="1"/>
  <c r="D29" i="8"/>
  <c r="F28" i="8"/>
  <c r="F31" i="8"/>
  <c r="F33" i="8" s="1"/>
  <c r="F29" i="8"/>
  <c r="D14" i="16"/>
  <c r="H34" i="16" s="1"/>
  <c r="D21" i="16"/>
  <c r="D22" i="16"/>
  <c r="D23" i="16" s="1"/>
  <c r="H21" i="16"/>
  <c r="L21" i="16"/>
  <c r="B22" i="16"/>
  <c r="L22" i="16" s="1"/>
  <c r="F34" i="16"/>
  <c r="J34" i="16" s="1"/>
  <c r="N34" i="16" s="1"/>
  <c r="L34" i="16"/>
  <c r="B35" i="16"/>
  <c r="B36" i="16" s="1"/>
  <c r="B37" i="16" s="1"/>
  <c r="D35" i="16"/>
  <c r="F35" i="16" s="1"/>
  <c r="J35" i="16" s="1"/>
  <c r="D33" i="21"/>
  <c r="D26" i="21"/>
  <c r="D27" i="21" s="1"/>
  <c r="D28" i="21" s="1"/>
  <c r="D34" i="21" s="1"/>
  <c r="D44" i="14"/>
  <c r="D42" i="14"/>
  <c r="D53" i="14"/>
  <c r="D51" i="14"/>
  <c r="F35" i="14"/>
  <c r="D35" i="14"/>
  <c r="D24" i="19"/>
  <c r="D33" i="19"/>
  <c r="D28" i="19"/>
  <c r="H21" i="19"/>
  <c r="H15" i="19"/>
  <c r="D32" i="19" s="1"/>
  <c r="D34" i="19" s="1"/>
  <c r="D18" i="19"/>
  <c r="H24" i="19"/>
  <c r="D39" i="18"/>
  <c r="L39" i="18"/>
  <c r="L40" i="18"/>
  <c r="L41" i="18"/>
  <c r="L42" i="18"/>
  <c r="L43" i="18"/>
  <c r="L44" i="18"/>
  <c r="L20" i="18"/>
  <c r="D20" i="18"/>
  <c r="F20" i="18"/>
  <c r="L21" i="18"/>
  <c r="L22" i="18"/>
  <c r="L23" i="18"/>
  <c r="L24" i="18"/>
  <c r="L25" i="18"/>
  <c r="D21" i="18"/>
  <c r="F21" i="18" s="1"/>
  <c r="H35" i="16"/>
  <c r="B23" i="16"/>
  <c r="B24" i="16" s="1"/>
  <c r="B25" i="16" s="1"/>
  <c r="L23" i="16"/>
  <c r="L24" i="16"/>
  <c r="H21" i="18"/>
  <c r="F32" i="8"/>
  <c r="F11" i="22"/>
  <c r="G11" i="22" s="1"/>
  <c r="D36" i="16"/>
  <c r="H36" i="16" s="1"/>
  <c r="D38" i="19"/>
  <c r="D39" i="19"/>
  <c r="D40" i="19" s="1"/>
  <c r="E39" i="22"/>
  <c r="E46" i="22" s="1"/>
  <c r="D39" i="23"/>
  <c r="D23" i="23"/>
  <c r="G39" i="22"/>
  <c r="D29" i="21"/>
  <c r="D40" i="22"/>
  <c r="D44" i="22" s="1"/>
  <c r="F40" i="23"/>
  <c r="F44" i="23"/>
  <c r="H20" i="18"/>
  <c r="J20" i="18" s="1"/>
  <c r="N20" i="18" s="1"/>
  <c r="F21" i="16"/>
  <c r="J21" i="16"/>
  <c r="N21" i="16" s="1"/>
  <c r="D37" i="16"/>
  <c r="D38" i="16" s="1"/>
  <c r="F38" i="16" s="1"/>
  <c r="G30" i="22"/>
  <c r="F24" i="23"/>
  <c r="D24" i="23"/>
  <c r="D25" i="23" s="1"/>
  <c r="D28" i="23" s="1"/>
  <c r="L36" i="16"/>
  <c r="H37" i="16"/>
  <c r="F37" i="16"/>
  <c r="N35" i="16" l="1"/>
  <c r="E25" i="22"/>
  <c r="E28" i="22" s="1"/>
  <c r="E31" i="22" s="1"/>
  <c r="E33" i="22" s="1"/>
  <c r="E24" i="22"/>
  <c r="H39" i="22"/>
  <c r="H23" i="22"/>
  <c r="H11" i="22"/>
  <c r="H18" i="22" s="1"/>
  <c r="G18" i="22"/>
  <c r="H23" i="16"/>
  <c r="D24" i="16"/>
  <c r="F23" i="16"/>
  <c r="J23" i="16" s="1"/>
  <c r="N23" i="16" s="1"/>
  <c r="F39" i="18"/>
  <c r="J39" i="18" s="1"/>
  <c r="N39" i="18" s="1"/>
  <c r="D40" i="18"/>
  <c r="D35" i="21"/>
  <c r="D38" i="21" s="1"/>
  <c r="D39" i="21" s="1"/>
  <c r="F25" i="22"/>
  <c r="F28" i="22" s="1"/>
  <c r="F24" i="22"/>
  <c r="D39" i="16"/>
  <c r="F36" i="16"/>
  <c r="J36" i="16" s="1"/>
  <c r="N36" i="16" s="1"/>
  <c r="F18" i="22"/>
  <c r="L35" i="16"/>
  <c r="G39" i="23"/>
  <c r="F39" i="22"/>
  <c r="G20" i="23"/>
  <c r="G40" i="23" s="1"/>
  <c r="G44" i="23" s="1"/>
  <c r="G25" i="22"/>
  <c r="G28" i="22" s="1"/>
  <c r="G31" i="22" s="1"/>
  <c r="G33" i="22" s="1"/>
  <c r="G24" i="22"/>
  <c r="D39" i="22"/>
  <c r="H19" i="23"/>
  <c r="J37" i="16"/>
  <c r="G42" i="22"/>
  <c r="G47" i="22" s="1"/>
  <c r="G46" i="22"/>
  <c r="D42" i="23"/>
  <c r="D47" i="23" s="1"/>
  <c r="D46" i="23"/>
  <c r="E30" i="22"/>
  <c r="H39" i="18"/>
  <c r="L37" i="16"/>
  <c r="B38" i="16"/>
  <c r="H22" i="16"/>
  <c r="F22" i="16"/>
  <c r="F25" i="23"/>
  <c r="F28" i="23" s="1"/>
  <c r="D25" i="22"/>
  <c r="D28" i="22" s="1"/>
  <c r="D24" i="22"/>
  <c r="E18" i="23"/>
  <c r="J32" i="17"/>
  <c r="J21" i="18"/>
  <c r="N21" i="18" s="1"/>
  <c r="F18" i="23"/>
  <c r="G11" i="23"/>
  <c r="H38" i="16"/>
  <c r="J38" i="16" s="1"/>
  <c r="E42" i="22"/>
  <c r="E47" i="22" s="1"/>
  <c r="B26" i="16"/>
  <c r="L25" i="16"/>
  <c r="F39" i="23"/>
  <c r="E19" i="23"/>
  <c r="E20" i="23"/>
  <c r="E40" i="23" s="1"/>
  <c r="E44" i="23" s="1"/>
  <c r="F46" i="24"/>
  <c r="F51" i="24" s="1"/>
  <c r="M46" i="24"/>
  <c r="M51" i="24" s="1"/>
  <c r="D46" i="24"/>
  <c r="D51" i="24" s="1"/>
  <c r="D22" i="18"/>
  <c r="I46" i="24"/>
  <c r="I51" i="24" s="1"/>
  <c r="L32" i="24"/>
  <c r="L50" i="24" s="1"/>
  <c r="L52" i="24" s="1"/>
  <c r="H32" i="24"/>
  <c r="H50" i="24" s="1"/>
  <c r="D32" i="24"/>
  <c r="D50" i="24" s="1"/>
  <c r="O32" i="24"/>
  <c r="O50" i="24" s="1"/>
  <c r="O52" i="24" s="1"/>
  <c r="K32" i="24"/>
  <c r="K50" i="24" s="1"/>
  <c r="G32" i="24"/>
  <c r="G50" i="24" s="1"/>
  <c r="N32" i="24"/>
  <c r="N50" i="24" s="1"/>
  <c r="N52" i="24" s="1"/>
  <c r="J32" i="24"/>
  <c r="J50" i="24" s="1"/>
  <c r="F32" i="24"/>
  <c r="F50" i="24" s="1"/>
  <c r="F52" i="24" s="1"/>
  <c r="M32" i="24"/>
  <c r="M50" i="24" s="1"/>
  <c r="M52" i="24" s="1"/>
  <c r="I32" i="24"/>
  <c r="I50" i="24" s="1"/>
  <c r="I52" i="24" s="1"/>
  <c r="E32" i="24"/>
  <c r="E50" i="24" s="1"/>
  <c r="E52" i="24" s="1"/>
  <c r="K46" i="24"/>
  <c r="K51" i="24" s="1"/>
  <c r="J46" i="24"/>
  <c r="J51" i="24" s="1"/>
  <c r="H46" i="24"/>
  <c r="H51" i="24" s="1"/>
  <c r="G46" i="24"/>
  <c r="G51" i="24" s="1"/>
  <c r="F46" i="23" l="1"/>
  <c r="F42" i="23"/>
  <c r="D30" i="23"/>
  <c r="D31" i="23" s="1"/>
  <c r="D33" i="23" s="1"/>
  <c r="H39" i="23"/>
  <c r="H23" i="23"/>
  <c r="G18" i="23"/>
  <c r="H11" i="23"/>
  <c r="H18" i="23" s="1"/>
  <c r="J22" i="16"/>
  <c r="N22" i="16" s="1"/>
  <c r="D42" i="22"/>
  <c r="D30" i="22"/>
  <c r="D46" i="22"/>
  <c r="F30" i="22"/>
  <c r="F31" i="22" s="1"/>
  <c r="F33" i="22" s="1"/>
  <c r="F42" i="22"/>
  <c r="F46" i="22"/>
  <c r="F24" i="16"/>
  <c r="J24" i="16" s="1"/>
  <c r="N24" i="16" s="1"/>
  <c r="H24" i="16"/>
  <c r="D25" i="16"/>
  <c r="H30" i="22"/>
  <c r="H42" i="22"/>
  <c r="H47" i="22" s="1"/>
  <c r="H46" i="22"/>
  <c r="H24" i="22"/>
  <c r="H25" i="22"/>
  <c r="H28" i="22" s="1"/>
  <c r="H31" i="22" s="1"/>
  <c r="H33" i="22" s="1"/>
  <c r="D52" i="24"/>
  <c r="H22" i="18"/>
  <c r="F22" i="18"/>
  <c r="J22" i="18" s="1"/>
  <c r="N22" i="18" s="1"/>
  <c r="D23" i="18"/>
  <c r="L26" i="16"/>
  <c r="B27" i="16"/>
  <c r="G42" i="23"/>
  <c r="G46" i="23"/>
  <c r="D40" i="16"/>
  <c r="H39" i="16"/>
  <c r="F39" i="16"/>
  <c r="J39" i="16" s="1"/>
  <c r="F40" i="18"/>
  <c r="J40" i="18" s="1"/>
  <c r="N40" i="18" s="1"/>
  <c r="D41" i="18"/>
  <c r="H40" i="18"/>
  <c r="E39" i="23"/>
  <c r="E23" i="23"/>
  <c r="D31" i="22"/>
  <c r="D33" i="22" s="1"/>
  <c r="B39" i="16"/>
  <c r="L38" i="16"/>
  <c r="N38" i="16" s="1"/>
  <c r="N37" i="16"/>
  <c r="G23" i="23"/>
  <c r="G52" i="24"/>
  <c r="H52" i="24"/>
  <c r="K52" i="24"/>
  <c r="J52" i="24"/>
  <c r="G47" i="23" l="1"/>
  <c r="E25" i="23"/>
  <c r="E28" i="23" s="1"/>
  <c r="E24" i="23"/>
  <c r="F23" i="18"/>
  <c r="H23" i="18"/>
  <c r="D24" i="18"/>
  <c r="E42" i="23"/>
  <c r="E46" i="23"/>
  <c r="G24" i="23"/>
  <c r="G25" i="23" s="1"/>
  <c r="G28" i="23" s="1"/>
  <c r="B40" i="16"/>
  <c r="L39" i="16"/>
  <c r="N39" i="16" s="1"/>
  <c r="L27" i="16"/>
  <c r="B28" i="16"/>
  <c r="L28" i="16" s="1"/>
  <c r="H25" i="16"/>
  <c r="D26" i="16"/>
  <c r="F25" i="16"/>
  <c r="J25" i="16" s="1"/>
  <c r="N25" i="16" s="1"/>
  <c r="F47" i="22"/>
  <c r="D47" i="22"/>
  <c r="H24" i="23"/>
  <c r="H25" i="23" s="1"/>
  <c r="H28" i="23" s="1"/>
  <c r="D35" i="22"/>
  <c r="F41" i="18"/>
  <c r="H41" i="18"/>
  <c r="D42" i="18"/>
  <c r="F40" i="16"/>
  <c r="J40" i="16" s="1"/>
  <c r="H40" i="16"/>
  <c r="D41" i="16"/>
  <c r="H42" i="23"/>
  <c r="H47" i="23" s="1"/>
  <c r="H46" i="23"/>
  <c r="F47" i="23"/>
  <c r="F24" i="18" l="1"/>
  <c r="J24" i="18" s="1"/>
  <c r="N24" i="18" s="1"/>
  <c r="H24" i="18"/>
  <c r="D25" i="18"/>
  <c r="H42" i="18"/>
  <c r="D43" i="18"/>
  <c r="F42" i="18"/>
  <c r="H30" i="23"/>
  <c r="H31" i="23" s="1"/>
  <c r="H33" i="23" s="1"/>
  <c r="G30" i="23"/>
  <c r="G31" i="23" s="1"/>
  <c r="G33" i="23" s="1"/>
  <c r="H41" i="16"/>
  <c r="F41" i="16"/>
  <c r="J41" i="16" s="1"/>
  <c r="F26" i="16"/>
  <c r="H26" i="16"/>
  <c r="D27" i="16"/>
  <c r="J23" i="18"/>
  <c r="N23" i="18" s="1"/>
  <c r="J41" i="18"/>
  <c r="N41" i="18" s="1"/>
  <c r="L40" i="16"/>
  <c r="N40" i="16" s="1"/>
  <c r="B41" i="16"/>
  <c r="L41" i="16" s="1"/>
  <c r="E47" i="23"/>
  <c r="J26" i="16" l="1"/>
  <c r="N26" i="16" s="1"/>
  <c r="F30" i="23"/>
  <c r="F31" i="23" s="1"/>
  <c r="F33" i="23" s="1"/>
  <c r="E30" i="23"/>
  <c r="E31" i="23" s="1"/>
  <c r="E33" i="23" s="1"/>
  <c r="D35" i="23" s="1"/>
  <c r="N41" i="16"/>
  <c r="N42" i="16" s="1"/>
  <c r="J42" i="18"/>
  <c r="N42" i="18" s="1"/>
  <c r="F25" i="18"/>
  <c r="H25" i="18"/>
  <c r="H27" i="16"/>
  <c r="F27" i="16"/>
  <c r="J27" i="16" s="1"/>
  <c r="N27" i="16" s="1"/>
  <c r="D28" i="16"/>
  <c r="F43" i="18"/>
  <c r="J43" i="18" s="1"/>
  <c r="N43" i="18" s="1"/>
  <c r="D44" i="18"/>
  <c r="H43" i="18"/>
  <c r="H28" i="16" l="1"/>
  <c r="F28" i="16"/>
  <c r="J28" i="16" s="1"/>
  <c r="N28" i="16" s="1"/>
  <c r="N29" i="16" s="1"/>
  <c r="J25" i="18"/>
  <c r="N25" i="18" s="1"/>
  <c r="N27" i="18" s="1"/>
  <c r="F44" i="18"/>
  <c r="H44" i="18"/>
  <c r="J44" i="18" l="1"/>
  <c r="N44" i="18" s="1"/>
  <c r="N46" i="18" s="1"/>
</calcChain>
</file>

<file path=xl/sharedStrings.xml><?xml version="1.0" encoding="utf-8"?>
<sst xmlns="http://schemas.openxmlformats.org/spreadsheetml/2006/main" count="379" uniqueCount="280">
  <si>
    <t>Values</t>
  </si>
  <si>
    <t>Assumptions</t>
  </si>
  <si>
    <t>Depreciation</t>
  </si>
  <si>
    <t>Case 1</t>
  </si>
  <si>
    <t>Case 2</t>
  </si>
  <si>
    <t>Sales volume (units)</t>
  </si>
  <si>
    <t>Sales price per unit</t>
  </si>
  <si>
    <t>Direct cost per unit</t>
  </si>
  <si>
    <t>Sales revenue</t>
  </si>
  <si>
    <t>Direct cost of goods sold</t>
  </si>
  <si>
    <t>Cash operating expenses (fixed)</t>
  </si>
  <si>
    <t>Pretax profit</t>
  </si>
  <si>
    <t>Income tax expense</t>
  </si>
  <si>
    <t>Add back depreciation</t>
  </si>
  <si>
    <t>Cash flow from operations, in dollars</t>
  </si>
  <si>
    <t>Year</t>
  </si>
  <si>
    <t>Sales volume per year</t>
  </si>
  <si>
    <t>US dollar price per unit</t>
  </si>
  <si>
    <t>Less direct costs</t>
  </si>
  <si>
    <t>Same US$ Price</t>
  </si>
  <si>
    <t>Unit volume decrease if price increased</t>
  </si>
  <si>
    <t>Better.</t>
  </si>
  <si>
    <t>Sales to China</t>
  </si>
  <si>
    <t>Direct costs as % of US$ sales price</t>
  </si>
  <si>
    <t xml:space="preserve">     Direct costs per unit</t>
  </si>
  <si>
    <t>Volume</t>
  </si>
  <si>
    <t>Revenue</t>
  </si>
  <si>
    <t>Direct Costs</t>
  </si>
  <si>
    <t>Margin</t>
  </si>
  <si>
    <t>Present Value</t>
  </si>
  <si>
    <t>Factor</t>
  </si>
  <si>
    <t>of Margin</t>
  </si>
  <si>
    <t>Gross</t>
  </si>
  <si>
    <t>Direct costs as % of US$ price</t>
  </si>
  <si>
    <t>Volume change</t>
  </si>
  <si>
    <t xml:space="preserve">  (if price increased)</t>
  </si>
  <si>
    <t>Volume growth</t>
  </si>
  <si>
    <t xml:space="preserve">  (same Rmb price)</t>
  </si>
  <si>
    <t xml:space="preserve">Alternative 1: Keep Same Chinese Sales Price </t>
  </si>
  <si>
    <t>WACC</t>
  </si>
  <si>
    <t xml:space="preserve">Alternative 2: Raise Chinese Sales Price </t>
  </si>
  <si>
    <t>Cum PV of Gross Margin</t>
  </si>
  <si>
    <t>Invoice price of car</t>
  </si>
  <si>
    <t>Sales to New Zealand Distributors</t>
  </si>
  <si>
    <t>Lower Band</t>
  </si>
  <si>
    <t>Upper Band</t>
  </si>
  <si>
    <t>a.  What are the outside ranges?</t>
  </si>
  <si>
    <t xml:space="preserve">       (initial spot rate + or - 5%)</t>
  </si>
  <si>
    <t xml:space="preserve">     Is this within the band?</t>
  </si>
  <si>
    <t>d.  How does this shift the currency risk?</t>
  </si>
  <si>
    <t>e.  Who benefits from this risk-sharing agreement?</t>
  </si>
  <si>
    <t>Unit volume</t>
  </si>
  <si>
    <t>Value</t>
  </si>
  <si>
    <t>Units</t>
  </si>
  <si>
    <t>Existing sales price per unit</t>
  </si>
  <si>
    <t>Direct cost per unit in the US</t>
  </si>
  <si>
    <t>US dollar prices</t>
  </si>
  <si>
    <t>(R$/$)</t>
  </si>
  <si>
    <t>Exchange rate</t>
  </si>
  <si>
    <t xml:space="preserve">Prices in </t>
  </si>
  <si>
    <t>Brazilian reais</t>
  </si>
  <si>
    <t>Alternative #1: Maintain same price in reais:</t>
  </si>
  <si>
    <t>Contribution margin in US dollars</t>
  </si>
  <si>
    <t>Alternative #2: Raise price in reais (and accept lower volume):</t>
  </si>
  <si>
    <t>Decrease in unit volume from price increase</t>
  </si>
  <si>
    <t>Discussion</t>
  </si>
  <si>
    <t xml:space="preserve">     New lower unit volume</t>
  </si>
  <si>
    <t>Direct cost per unit in the US, percent of price</t>
  </si>
  <si>
    <t>End</t>
  </si>
  <si>
    <t>of year</t>
  </si>
  <si>
    <t>Sales volume</t>
  </si>
  <si>
    <t>US$ Revenue</t>
  </si>
  <si>
    <t>Contribution</t>
  </si>
  <si>
    <t>Initial sales volume</t>
  </si>
  <si>
    <t>Sales volume growth</t>
  </si>
  <si>
    <t>Sales price, US$</t>
  </si>
  <si>
    <t>Present value of contribution margins</t>
  </si>
  <si>
    <t>PV Factor</t>
  </si>
  <si>
    <t>Alternative #1: Maintain current Brazilian sales price and volume grows 10% per annum</t>
  </si>
  <si>
    <t>Alternative #2: Raise Brazilian sales price to R$400 and volume grows only 4% per annum from a lower volume base</t>
  </si>
  <si>
    <t>Sales revenue  (R$680 x 50,000 ) / (R$4.000/$)</t>
  </si>
  <si>
    <t>Sales revenue  (R$800 x 40,000 ) / (R$4.000/$)</t>
  </si>
  <si>
    <t>Less direct costs (US$120 x 40,000)</t>
  </si>
  <si>
    <t>→</t>
  </si>
  <si>
    <t>←</t>
  </si>
  <si>
    <t>If the US$ price is changed to keep US$ price:</t>
  </si>
  <si>
    <t>Alternative #2 is preferable, yielding a higher present value of total contribution margin over the expected remaining life of the export sales.</t>
  </si>
  <si>
    <t>One year's cash flow</t>
  </si>
  <si>
    <t>Plus interest</t>
  </si>
  <si>
    <t>Principal and interest</t>
  </si>
  <si>
    <t>Spot exchange rate</t>
  </si>
  <si>
    <t>US dollars</t>
  </si>
  <si>
    <t>Yen</t>
  </si>
  <si>
    <t>Yen/US$</t>
  </si>
  <si>
    <t>US$</t>
  </si>
  <si>
    <t>One month's cash flow</t>
  </si>
  <si>
    <t>Months per year</t>
  </si>
  <si>
    <t>Also unknown are the expected sales for year 2 and beyond.</t>
  </si>
  <si>
    <t>b.  What should be the terms of payment on the loan?</t>
  </si>
  <si>
    <t>Sample Values</t>
  </si>
  <si>
    <t>per annum</t>
  </si>
  <si>
    <t>could be structured so that it could be renewed annually with interest reset annually. This would only cover the</t>
  </si>
  <si>
    <t>foreign exchange and interest rate risk for a year at a time, but would probably be acceptable to a bank lender.</t>
  </si>
  <si>
    <t xml:space="preserve">The loan should be repaid out of the monthly cash flow, with payments on principal only. The interest payment one </t>
  </si>
  <si>
    <t>year hence has already been covered by borrowing both principal and interest up-front.</t>
  </si>
  <si>
    <t>only the accounting exposure, and not the cash flow exposure (operating exposure).</t>
  </si>
  <si>
    <t>The allowable range of exchange rates is (Ps/$)</t>
  </si>
  <si>
    <t>Bottom</t>
  </si>
  <si>
    <t>Top</t>
  </si>
  <si>
    <t>New exchange rate (Ps/$)</t>
  </si>
  <si>
    <t>Allowable exchange rate (Ps/$)</t>
  </si>
  <si>
    <t>Difference to be shared (Ps/$)</t>
  </si>
  <si>
    <t>Top of range</t>
  </si>
  <si>
    <t>Effective total of risk-sharing</t>
  </si>
  <si>
    <t>Assuming that 6 months of imports will still be (Ps)</t>
  </si>
  <si>
    <t>cash flow plus interest, and convert the borrowed yen to US dollar at once. A sample calculation would be:</t>
  </si>
  <si>
    <t>Less direct costs (US$120 x 50,000)</t>
  </si>
  <si>
    <t xml:space="preserve">     New current spot rate (N$/£)</t>
  </si>
  <si>
    <t xml:space="preserve">Yes  </t>
  </si>
  <si>
    <t xml:space="preserve">     Cost of 10 cars at this exchange rate (NZ$)</t>
  </si>
  <si>
    <t>b.  Cost to the Kiwi distributor for 10 cars</t>
  </si>
  <si>
    <t>c.  Cost to the Kiwi distributor for 10 cars</t>
  </si>
  <si>
    <r>
      <t>Spot exchange rate, NZ$/</t>
    </r>
    <r>
      <rPr>
        <sz val="10"/>
        <rFont val="Times New Roman"/>
        <family val="1"/>
      </rPr>
      <t>£</t>
    </r>
  </si>
  <si>
    <t>Spot exchange rate, yuan/$</t>
  </si>
  <si>
    <t>Expected spot rate, yuan/$</t>
  </si>
  <si>
    <t>Same Yuan Price</t>
  </si>
  <si>
    <t>Gross profits</t>
  </si>
  <si>
    <t>Both parties in practice. The manufacturer has predictable revenues within the range, while the distributor bears a moderate level of currency risk within the 5% range. The distributor will hopefully be able to provide a more stable pricing to pass on to the customer, which will also benefit the manufacturer through a more stable and sustinable distributor sales outlet.</t>
  </si>
  <si>
    <t>If the reais falls in value, the new implied US$ price:</t>
  </si>
  <si>
    <t xml:space="preserve">     New dollar price if no reais price change</t>
  </si>
  <si>
    <t xml:space="preserve">     New reais price is current US$ price at new exchange rate:</t>
  </si>
  <si>
    <t>Outside of this range the trading partners will share the extra risk equally.</t>
  </si>
  <si>
    <t>a.  If the exchange rate changes immediately to Ps6.00/$, what will be the dollar cost of 6 months of imports to Pucini?</t>
  </si>
  <si>
    <t>Risk-sharing band, percentage +/-</t>
  </si>
  <si>
    <t>a.  How much should Mauna Loa borrow in yen?</t>
  </si>
  <si>
    <t>Mauna Loa receives cash collections of one hundred million yen per month. This is the source of repayment of any</t>
  </si>
  <si>
    <t>balance sheet hedge. If Mauna Loa wants to be covered for one year at a time, it would need to borrow one year's</t>
  </si>
  <si>
    <t>Realistically, Mauna Loa would probably want to be covered for the long term. In that case, the 1.2 billion yen loan</t>
  </si>
  <si>
    <t>Note: Mauna Loa should not borrow 250 million yen to cover only its balance sheet exposure. Such a loan would cover</t>
  </si>
  <si>
    <t>Mauna Loa, a macadamia nut subsidiary of Hershey's with planations on the slopes of its namesake volcano in Hilo, Hawaii, exports Macadamia nuts worldwide. The Japanese market is its biggest export market, with average annual sales invoiced in yen to Japanese customers of ¥1,200,000,000. At the present exchange rate of ¥125/$ this is equivalent to $9,600,000. Sales are relatively equally distributed during the year. They show up as a ¥250,00,000 account receivable on Mauna Loa’s balance sheet. Credit terms to each customer allow for 60 days before payment is due. Monthly cash collections are typically ¥100,000,000. 
Mauna Loa would like to hedge its yen receipts, but it has too many customers and transactions to make it practical to sell each receivable forward. It does not want to use options because they are considered to be too expensive for this particular purpose. Therefore, they have decided to use a “matching” hedge by borrowing yen.
a.  How much should Mauna Loa borrow in yen?
b.  What should be the terms of payment on the yen loan?</t>
  </si>
  <si>
    <t>DeMagistris' share</t>
  </si>
  <si>
    <t>Acuña's share</t>
  </si>
  <si>
    <t>Therefore, DeMagistris will use the following effective exchange rate after risk-sharing:</t>
  </si>
  <si>
    <t>Effective exchange rate for DeMagistris (Ps/$)</t>
  </si>
  <si>
    <t>DeMagistris' cost in US dollars</t>
  </si>
  <si>
    <t>However, the lower cost of importing might lead to higher DeMagistris' sales and therefore a higher import total than Ps 8 million.</t>
  </si>
  <si>
    <t>b.  At Ps6.00/$, what will be the peso export sales in Acuña to DeMagistris?</t>
  </si>
  <si>
    <t>The export sales of Acuña would remain at Ps 8 million, unless the lower dollar cost encourages DeMagistris to import more from Acuña.</t>
  </si>
  <si>
    <t>MacLoren Automtive manufactures British sports cars, a number of which are exported to New Zealand for payment in pounds sterling. The distributor sells the sports cars in New Zealand for New Zealand dollars. The New Zealand distributor is unable to carry all of the foreign exchange risk, and would not sell MacLoren models unless MacLoren could share some of the foreign exchange risk. MacLoren has agreed that sales for a given model year will initially be priced at a “base” spot rate between the New Zealand dollar and pound sterling set to be the spot mid-rate at the beginning of that model year. As long as the actual exchange rate is within ±5% of that base rate, payment will be made in pounds sterling. I.e., the New Zealand distributor assumes all foreign exchange risk. However if the spot rate at time of shipment falls outside of this ±5% range, MacLoren will share equally (i.e., 50/50) the difference between the actual spot rate and the base rate. For the current model year the base rate is NZ$1.6400/£.
a.  What are the outside ranges within which the New Zealand importer must pay at the then current spot rate?
b.  If MacLoren ships 10 sports cars to the New Zealand distributor at a time when the spot exchange rate is NZ$1.7000/£, and each car has an invoice cost £32,000, what will be the cost to the distributor in New Zealand dollars?  How many pounds will MacLoren receive, and how does this compare with McLaren's expected sales receipt of £32,000 per car?
c.  If MacLoren Automotive ships the same 10 cars to New Zealand at a time when the spot exchange rate is NZ$1.6500/£, how many New Zealand dollars will the distributor pay?  How many pounds will MacLoren Automotive receive?
d.  Does a risk-sharing agreement such as this one shift the currency exposure from one party of the transaction to the other?
e.  Why is such a risk-sharing agreement of benefit to MacLoren?  To the New Zealand distributor?</t>
  </si>
  <si>
    <t xml:space="preserve">      Receipts to MacLoren in British pounds</t>
  </si>
  <si>
    <r>
      <t xml:space="preserve">       (Within the band MacLoren receives £</t>
    </r>
    <r>
      <rPr>
        <sz val="10"/>
        <rFont val="Times New Roman"/>
        <family val="1"/>
      </rPr>
      <t>12,000/car, as expected)</t>
    </r>
  </si>
  <si>
    <r>
      <t xml:space="preserve">       (Within the band MacLoren receives </t>
    </r>
    <r>
      <rPr>
        <sz val="10"/>
        <rFont val="Times New Roman"/>
        <family val="1"/>
      </rPr>
      <t>£</t>
    </r>
    <r>
      <rPr>
        <sz val="10"/>
        <rFont val="Times New Roman"/>
        <family val="1"/>
      </rPr>
      <t>12,000/car)</t>
    </r>
  </si>
  <si>
    <t>MacLoren bears no risk within the 5% range. The distributor carries all of the risk within 5%. If the exchange rate falls outside the 5% range, MacLoren shares the risk with the distributor.</t>
  </si>
  <si>
    <t>Hurte-Paroxysm Products, Inc. (HP) of the United States exports computer printers to Brazil, whose currency, the reais (symbol R$) has been trading at R$3.40/US$. Exports to Brazil are currently 50,000 printers per year at the reais equivalent of $200 each. A strong rumor exists that the reais will be devalued to R$4.00/$ within two weeks by the Brazilian government. Should the devaluation take place, the reais is expected to remain unchanged for another decade. Accepting this forecast as given, HP Products faces a pricing decision which must be made before any actual devaluation: HP Products may either (1) maintain the same reais price and in effect sell for fewer dollars, in which case Brazilian volume will not change, or (2) maintain the same dollar price, raise the reais price in Brazil to compensate for the devaluation, and experience a 20% drop in volume. Direct costs in the U.S. are  60% of the U.S. sales price. What would be the short-run (one-year) implication of each pricing strategy? Which do you recommend?</t>
  </si>
  <si>
    <t>Alternative #2 is preferable. In the short run (one year), HP Products would be better off to increase its sales price in reais in Brazil and accept the lower sales volume. The contribution margin if reais prices are raised is $3,200,000, whereas if the price in reais is left unchanged HP Product's contribution margin is only $2,500,000. This is a short-run solution, and does not consider possible longer-run effects that might come from raising the local price and/or accepting a smaller market share.</t>
  </si>
  <si>
    <t>Assume the same facts as in Hurte-Paroxysm Products, Inc. (A). HP Products also believes that if it maintains the same price in Brazilian reais as a permanent policy, volume will increase at 10% per annum for six years. Dollar costs will not change. At the end of six years HP Products’ patent expires and it will no longer export to Brazil. After the reais is devalued to R$4.00/US$ no further devaluation is expected. If HP Products raises the price in reais so as to maintain its dollar price, volume will increase at only 4% per annum for six years, starting from the lower initial base of 40,000 units. Again dollar costs will not change, and at the end of six years HP Products will stop exporting to Brazil. HP Products’ weighted average cost of capital is 12%. Given these considerations, what do you recommend for HP Products’ pricing policy? Justify your recommendation.</t>
  </si>
  <si>
    <t>German corporate tax rate</t>
  </si>
  <si>
    <t>Exchange rate ($/€)</t>
  </si>
  <si>
    <t>Income Statement</t>
  </si>
  <si>
    <t>Net income</t>
  </si>
  <si>
    <t>Operating Cash Flows</t>
  </si>
  <si>
    <t>Changes in net working capital</t>
  </si>
  <si>
    <t>Cash flow from operations</t>
  </si>
  <si>
    <t>Present Value @ 15%</t>
  </si>
  <si>
    <t>Net Working Capital Calculations</t>
  </si>
  <si>
    <t>Day of sales</t>
  </si>
  <si>
    <t>Day of direct COGS</t>
  </si>
  <si>
    <t>Accounts receivable days</t>
  </si>
  <si>
    <t xml:space="preserve">  A/R</t>
  </si>
  <si>
    <t>Inventory days</t>
  </si>
  <si>
    <t xml:space="preserve">   Inventory</t>
  </si>
  <si>
    <t>Accounts payable days</t>
  </si>
  <si>
    <t xml:space="preserve">   A/P</t>
  </si>
  <si>
    <t>Net Working Capital</t>
  </si>
  <si>
    <t>Baseline NWC</t>
  </si>
  <si>
    <t>a.  If the exchange rate changes immediately to Ps6.00/$, what will be the dollar cost of 6 months of imports to DeMagistris?</t>
  </si>
  <si>
    <t>b.  At Ps6.00/$, what will be the peso export sales in Acuña Leather Goods to DeMagistris Fashion Company?</t>
  </si>
  <si>
    <t>DeMagistris Fashion Company, based in New York City, imports leather coats from Acuña Leather Goods, a reliable and longtime supplier, based in Buenos Aires, Argentina. Payment is in Argentine pesos. When the peso lost its parity with the U.S. dollar in January 2002 it collapsed in value to Ps 4.0/$ by October 2002. The outlook was for a further decline in the peso’s value. Since both DeMagistris and Acuña wanted to continue their longtime relationship they agreed on a risk-sharing arrangement. As long as the spot rate on the date of an invoice is between Ps3.5/$ and Ps4.5/$ DeMagistris will pay based on the spot rate. If the exchange rate falls outside this range they will share the difference equally with Acuña Leather Goods. The risk-sharing agreement will last for six months, at which time the exchange rate limits will be reevaluated. DeMagistris contracts to import leather coats from Acuña for Ps8,000,000 or $2,000,000 at the current spot rate of Ps4.0/$ during the next six months.</t>
  </si>
  <si>
    <t>Problem 12.5  MacLoren Automotive</t>
  </si>
  <si>
    <t>Problem 12.9  Hurte-Paroxysm Products, Inc. (A)</t>
  </si>
  <si>
    <t>Problem 12.10  Hurte-Paroxysm Products, Inc. (B)</t>
  </si>
  <si>
    <t>Exhibit 12.6  Ganado Germany -- All Domestic Competitors</t>
  </si>
  <si>
    <t xml:space="preserve">Using the Ganado Germany analysis in Exhibit 12.5 and 12.6 where the euro depreciates, how would prices, costs, and volumes change if Ganado Germany was operating in a nearly purely domestic, mature market, with major domestic competitors? </t>
  </si>
  <si>
    <t>If all competitors were domestic, Ganado Germany could not change price to try and pass-through exchange rate changes. As a result, all of its operating parameters would remain the same, but its value would fall when valued in U.S. dollars by its U.S. parent company. This is the same as Case 1 in the chapter discussion.</t>
  </si>
  <si>
    <t>Exhibit 12.7  Ganado Germany  -- All Foreign Competitors</t>
  </si>
  <si>
    <t>Ganado Germany is now competing in a number of international (export) markets, growth markets, in which most of its competitors are foreign. Now how would you expect Ganado Germany’s operating exposure to respond to the depreciation of the euro?</t>
  </si>
  <si>
    <t>Problem 12.1  Mauna Loa Macadamia</t>
  </si>
  <si>
    <t>Problem 12.2  Acuña Leather Goods</t>
  </si>
  <si>
    <t>Problem 12.3  Manitowoc Crane (A)</t>
  </si>
  <si>
    <t>Manitowoc Crane (U.S.) exports heavy crane equipment to several Chinese dock facilities. Sales are currently 10,000 units per year at the yuan equivalent of $24,000 each. The Chinese yuan (renminbi) has been trading at Yuan8.20/$, but a Hong Kong advisory service predicts the renminbi will drop in value next week to Yuan9.00/$, after which it will remain unchanged for at least a decade. Accepting this forecast as given, Manitowoc Crane faces a pricing decision in the face of the impending devaluation. It may either (1) maintain the same yuan price and in effect sell for fewer dollars, in which case Chinese volume will not change; or (2) maintain the same dollar price, raise the yuan price in China to offset the devaluation, and experience a 10% drop in unit volume. Direct costs are 75% of the U.S. sales price.
a.  What would be the short-run (one year) impact of each pricing strategy?
b.  Which do you recommend?</t>
  </si>
  <si>
    <t>Problem 12.4  Manitowoc Crane (B)</t>
  </si>
  <si>
    <t xml:space="preserve">Assume the same facts as in Manitowoc Crane (A). Additionally, financial management believes that if it maintains the same yuan sales price, volume will increase at 12% per annum for eight years. Dollar costs will not change. At the end of ten years, Manitowoc's patent expires and it will no longer export to China. After the yuan is devalued to Yuan9.20/$, no further devaluations are expected. If Manitowoc Crane raises the yuan price so as to maintain its dollar price, volume will increase at only 1% per annum for eight years, starting from the lower initial base of 9,000 units. Again dollar costs will not change and at the end of eight years Manitowoc Crane will stop exporting to China. Manitowoc's weighted average cost of capital is 10%. Given these considerations, what should be Manitowoc's pricing policy? </t>
  </si>
  <si>
    <t>Manitowoc Crane is better off raising the Chinese sales price to maintain the US dollar price, and suffering the lower volumes. The volume decrease does not offset the stronger US dollar price per unit received.</t>
  </si>
  <si>
    <t>Ganado Germany would most likely try to profit from its now weak-currency home country (Germany), and would try and increase sales volumes dramatically in a growth market by keeping the price in euros the same. The result is something like case 2 in the chapter discussion, where volume could jump dramatically (thinking positive).</t>
  </si>
  <si>
    <t xml:space="preserve">Rolls-Royce is struggling with its pricing strategy with a number of its major customers in Continental Europe, particularly Airbus. Since Rolls-Royce is a British company with most manufacturing of the Airbus engines in the United Kingdom, costs are predominantly denominated in British Pounds. But in the period shown, 2007-2009, the pound steadily weakened against the euro. Rolls-Royce has traditionally denominated its sales contracts with Airbus in Airbus' home currency, the euro. </t>
  </si>
  <si>
    <r>
      <t xml:space="preserve">a. Assuming each Rolls-Royce engine marketed to Airbus costs </t>
    </r>
    <r>
      <rPr>
        <b/>
        <sz val="10"/>
        <color theme="1"/>
        <rFont val="Calibri"/>
        <family val="2"/>
      </rPr>
      <t>£</t>
    </r>
    <r>
      <rPr>
        <b/>
        <sz val="10"/>
        <color theme="1"/>
        <rFont val="Times New Roman"/>
        <family val="1"/>
      </rPr>
      <t>22.5 million each, how has the price of that engine changed over the period shown?</t>
    </r>
  </si>
  <si>
    <t>Date</t>
  </si>
  <si>
    <t>1Q 2007</t>
  </si>
  <si>
    <t>2Q 2007</t>
  </si>
  <si>
    <t>3Q 2007</t>
  </si>
  <si>
    <t>4Q 2007</t>
  </si>
  <si>
    <t>1Q 2008</t>
  </si>
  <si>
    <t>2Q 2008</t>
  </si>
  <si>
    <t>3Q 2008</t>
  </si>
  <si>
    <t>4Q 2008</t>
  </si>
  <si>
    <t>1Q 2009</t>
  </si>
  <si>
    <t>2Q 2009</t>
  </si>
  <si>
    <t>3Q 2009</t>
  </si>
  <si>
    <t>4Q 2009</t>
  </si>
  <si>
    <r>
      <t xml:space="preserve">Price (millions of pounds, </t>
    </r>
    <r>
      <rPr>
        <sz val="10"/>
        <color theme="1"/>
        <rFont val="Calibri"/>
        <family val="2"/>
      </rPr>
      <t>£</t>
    </r>
    <r>
      <rPr>
        <sz val="10"/>
        <color theme="1"/>
        <rFont val="Times New Roman"/>
        <family val="1"/>
      </rPr>
      <t>)</t>
    </r>
  </si>
  <si>
    <t>Spot rate (euro = 1.00 pound)</t>
  </si>
  <si>
    <r>
      <t xml:space="preserve">Price (millions of euros, </t>
    </r>
    <r>
      <rPr>
        <sz val="10"/>
        <color theme="1"/>
        <rFont val="Calibri"/>
        <family val="2"/>
      </rPr>
      <t>€</t>
    </r>
    <r>
      <rPr>
        <sz val="10"/>
        <color theme="1"/>
        <rFont val="Times New Roman"/>
        <family val="1"/>
      </rPr>
      <t>)</t>
    </r>
  </si>
  <si>
    <t>b. What is the cumulative percentage change in the price of the engine in euros for the three year period?</t>
  </si>
  <si>
    <t>Using the basic percentage change formula of (P2 - P1)/(P1), the percentage change is:</t>
  </si>
  <si>
    <t>c. If the price elasticity of demand for RR turbine sales to Airbus is relatively inelastic, and the price of the engine in British pounds never changes over the period, what does this price change mean for Rolls-Royce's total sales revenue on sales to Airbus of this engine?</t>
  </si>
  <si>
    <t xml:space="preserve">If the price inelasticity of demand is inelastic (ep &lt; 1), then a large percentage change in the price -- in this case in euros -- does not generate an increase in sales quantity to offset the decline in price. </t>
  </si>
  <si>
    <t>d. Compare the prices and volumes for the first quarter of each of the three years shown. Who has benefited the most from the exchange rate changes?</t>
  </si>
  <si>
    <t>% Chg</t>
  </si>
  <si>
    <r>
      <t xml:space="preserve">Price (in millions of </t>
    </r>
    <r>
      <rPr>
        <sz val="10"/>
        <color theme="1"/>
        <rFont val="Calibri"/>
        <family val="2"/>
      </rPr>
      <t>£</t>
    </r>
    <r>
      <rPr>
        <sz val="10"/>
        <color theme="1"/>
        <rFont val="Times New Roman"/>
        <family val="1"/>
      </rPr>
      <t>)</t>
    </r>
  </si>
  <si>
    <t>The price of the RR engines as sold by RR is unchanged over the period.</t>
  </si>
  <si>
    <r>
      <t>Spot rate (</t>
    </r>
    <r>
      <rPr>
        <sz val="10"/>
        <color theme="1"/>
        <rFont val="Calibri"/>
        <family val="2"/>
      </rPr>
      <t>€</t>
    </r>
    <r>
      <rPr>
        <sz val="10"/>
        <color theme="1"/>
        <rFont val="Times New Roman"/>
        <family val="1"/>
      </rPr>
      <t>/</t>
    </r>
    <r>
      <rPr>
        <sz val="10"/>
        <color theme="1"/>
        <rFont val="Calibri"/>
        <family val="2"/>
      </rPr>
      <t>£</t>
    </r>
    <r>
      <rPr>
        <sz val="10"/>
        <color theme="1"/>
        <rFont val="Times New Roman"/>
        <family val="1"/>
      </rPr>
      <t>)</t>
    </r>
  </si>
  <si>
    <t>The British pound steadily weakened against the euro over the period.</t>
  </si>
  <si>
    <r>
      <t xml:space="preserve">Price (in millions of </t>
    </r>
    <r>
      <rPr>
        <sz val="10"/>
        <color theme="1"/>
        <rFont val="Calibri"/>
        <family val="2"/>
      </rPr>
      <t>€</t>
    </r>
    <r>
      <rPr>
        <sz val="10"/>
        <color theme="1"/>
        <rFont val="Times New Roman"/>
        <family val="1"/>
      </rPr>
      <t>)</t>
    </r>
  </si>
  <si>
    <t>The price of each engine in euros fell 26%.</t>
  </si>
  <si>
    <t>Sales volume (engines)</t>
  </si>
  <si>
    <t>Engine sales volumes grew 20%.</t>
  </si>
  <si>
    <r>
      <t xml:space="preserve">Total cost to Airbus (millions of </t>
    </r>
    <r>
      <rPr>
        <sz val="10"/>
        <color theme="1"/>
        <rFont val="Calibri"/>
        <family val="2"/>
      </rPr>
      <t>€</t>
    </r>
    <r>
      <rPr>
        <sz val="10"/>
        <color theme="1"/>
        <rFont val="Times New Roman"/>
        <family val="1"/>
      </rPr>
      <t>)</t>
    </r>
  </si>
  <si>
    <t>Total costs in euros to Airbus fell 11.4%.</t>
  </si>
  <si>
    <r>
      <t xml:space="preserve">Total revenue to RR (millions of </t>
    </r>
    <r>
      <rPr>
        <sz val="10"/>
        <color theme="1"/>
        <rFont val="Calibri"/>
        <family val="2"/>
      </rPr>
      <t>£</t>
    </r>
    <r>
      <rPr>
        <sz val="10"/>
        <color theme="1"/>
        <rFont val="Times New Roman"/>
        <family val="1"/>
      </rPr>
      <t>)</t>
    </r>
  </si>
  <si>
    <t xml:space="preserve">Total revenues accruing to RR rose 20%, equal to the volume growth. </t>
  </si>
  <si>
    <t xml:space="preserve">If volumes had not grown, RR revenues would not have changed. </t>
  </si>
  <si>
    <t>Clearly Airbus has captured the majority of the benefits as its cost per engine (-26.1%) and total costs of purchases have fell dramatically (-11.4%).</t>
  </si>
  <si>
    <t>Problem 12.8  Rolls-Royce Turbine Engines</t>
  </si>
  <si>
    <t xml:space="preserve">Truckee Tec is a privately held battery manufacturer located just outside of Reno, Nevada. The company is one of the leading manufacturers of lithium-ion batteries, specifically for the automobile market. Truckee has been in intense contract negotiations with a Japanese automaker for months. It was late December 2016, and both sides wanted to conclude a deal before the new year. </t>
  </si>
  <si>
    <t>The Japanese automaker wanted a two-year supply agreement for 18,000 Lithium-ion 12V battery packs per year. Battery prices had been dropping dramatically for years, but Truckee's current sales price of $1,100 per battery for the 12V model (1342OR) had held firm for months. The buyer was  pushing for a lower unit price, but Truckee wanted a longer contract with higher volumes in return. After months of negotiations, the buyer agreed to increase the contract to a three-years, and increase annual purchases to 20,000 units. But in return, the buyer wanted a price of $1,050 per unit, and it wanted to pay in Japanese yen. Truckee had countered with the following proposal. At an average price of $1052 per unit, and a current spot exchange rate of ¥114.00/$, Truckee proposed a contract of 20,000 units per year, for 3 years, with an annual purchase amount of:</t>
  </si>
  <si>
    <t>Units (packs) per year</t>
  </si>
  <si>
    <t>Price per battery pack</t>
  </si>
  <si>
    <r>
      <t>Current spot rate (</t>
    </r>
    <r>
      <rPr>
        <b/>
        <sz val="10"/>
        <color theme="1"/>
        <rFont val="Calibri"/>
        <family val="2"/>
      </rPr>
      <t>¥</t>
    </r>
    <r>
      <rPr>
        <b/>
        <sz val="10"/>
        <color theme="1"/>
        <rFont val="Times New Roman"/>
        <family val="1"/>
      </rPr>
      <t>/$)</t>
    </r>
  </si>
  <si>
    <t>Annual Contract Value</t>
  </si>
  <si>
    <t>a. Given the final contract value, what does the Japanese buyer believe they are paying per battery pack?</t>
  </si>
  <si>
    <t>Contract value per year</t>
  </si>
  <si>
    <t>Units per year</t>
  </si>
  <si>
    <t>Unit cost in Japanese yen</t>
  </si>
  <si>
    <r>
      <t>Spot rate at contract date (</t>
    </r>
    <r>
      <rPr>
        <sz val="10"/>
        <color theme="1"/>
        <rFont val="Calibri"/>
        <family val="2"/>
      </rPr>
      <t>¥</t>
    </r>
    <r>
      <rPr>
        <sz val="10"/>
        <color theme="1"/>
        <rFont val="Times New Roman"/>
        <family val="1"/>
      </rPr>
      <t>/$)</t>
    </r>
  </si>
  <si>
    <t>Unit cost in US dollars</t>
  </si>
  <si>
    <t>At $1019 per battery pack, this is even less than what the Japanese buyer had been pursuing ($1050 per unit).</t>
  </si>
  <si>
    <t>b. What is the amount of the currency exposure to Truckee Tec?</t>
  </si>
  <si>
    <t>Quarterly payment to Truckee</t>
  </si>
  <si>
    <t>Truckee will receive a payment of 599.64 million Japanese yen ever quarter for three years.</t>
  </si>
  <si>
    <t>Period (quarter number)</t>
  </si>
  <si>
    <t xml:space="preserve">Date </t>
  </si>
  <si>
    <t>2017 Q1</t>
  </si>
  <si>
    <t>2017 Q2</t>
  </si>
  <si>
    <t>2017 Q3</t>
  </si>
  <si>
    <t>2017 Q4</t>
  </si>
  <si>
    <t>2018 Q1</t>
  </si>
  <si>
    <t>2018 Q2</t>
  </si>
  <si>
    <t>2018 Q3</t>
  </si>
  <si>
    <t>2018 Q4</t>
  </si>
  <si>
    <t>2019 Q1</t>
  </si>
  <si>
    <t>2019 Q2</t>
  </si>
  <si>
    <t>2019 Q3</t>
  </si>
  <si>
    <t>2019 Q4</t>
  </si>
  <si>
    <t>JPY cash inflow (millions)</t>
  </si>
  <si>
    <t>c. If the swap agreement is for a 3-year loan at 4.500%, paid quarterly, what is the principal (notional principal) of the loan obligation needed to cover the exposure?</t>
  </si>
  <si>
    <t>Contract term (years)</t>
  </si>
  <si>
    <t>Contract and loan payment quarters</t>
  </si>
  <si>
    <t>Japanese loan interest (per annum)</t>
  </si>
  <si>
    <t xml:space="preserve">    Interest per quarter</t>
  </si>
  <si>
    <t>Japanese loan principal</t>
  </si>
  <si>
    <t>Amortizing JPY Loan</t>
  </si>
  <si>
    <t>Quarter number</t>
  </si>
  <si>
    <t>Japanese loan interest payment</t>
  </si>
  <si>
    <t>Japanese loan principal payment</t>
  </si>
  <si>
    <t>Japanese loan, total quarterly payment</t>
  </si>
  <si>
    <t>d. If both the Japanese buyer and the swap agreement perform as expected, what is the net exposure in Japanese yen remaining after the swap to Truckee?</t>
  </si>
  <si>
    <t>Japanese yen cash inflow (buyer)</t>
  </si>
  <si>
    <t>Japanese yen cash outflow (swap)</t>
  </si>
  <si>
    <t>Net Japanese yen cash flow</t>
  </si>
  <si>
    <t>Problem 12.11  Truckee Tec's Japanese Yen Exposure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</si>
</sst>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00_);_(* \(#,##0.0000\);_(* &quot;-&quot;??_);_(@_)"/>
    <numFmt numFmtId="165" formatCode="0.0%"/>
    <numFmt numFmtId="166" formatCode="_(* #,##0_);_(* \(#,##0\);_(* &quot;-&quot;??_);_(@_)"/>
    <numFmt numFmtId="167" formatCode="0.000%"/>
    <numFmt numFmtId="168" formatCode="_([$€-2]\ * #,##0_);_([$€-2]\ * \(#,##0\);_([$€-2]\ * &quot;-&quot;??_);_(@_)"/>
    <numFmt numFmtId="169" formatCode="0.0000"/>
    <numFmt numFmtId="170" formatCode="[$€-2]\ #,##0.00"/>
    <numFmt numFmtId="171" formatCode="[$£-809]#,##0"/>
    <numFmt numFmtId="172" formatCode="[$€-2]\ #,##0"/>
    <numFmt numFmtId="173" formatCode="[$£-809]#,##0.00;\-[$£-809]#,##0.00"/>
    <numFmt numFmtId="174" formatCode="[$€-813]\ #,##0.00"/>
    <numFmt numFmtId="175" formatCode="[$¥-411]#,##0;\-[$¥-411]#,##0"/>
    <numFmt numFmtId="176" formatCode="[$¥-411]#,##0"/>
    <numFmt numFmtId="177" formatCode="[$¥-411]#,##0.00"/>
    <numFmt numFmtId="178" formatCode="[$¥-411]#,##0.00;\-[$¥-411]#,##0.00"/>
    <numFmt numFmtId="179" formatCode="[$¥-411]#,##0.00;[Red]\-[$¥-411]#,##0.00"/>
  </numFmts>
  <fonts count="20" x14ac:knownFonts="1">
    <font>
      <sz val="10"/>
      <name val="Times New Roman"/>
    </font>
    <font>
      <sz val="10"/>
      <name val="Times New Roman"/>
      <family val="1"/>
    </font>
    <font>
      <b/>
      <sz val="10"/>
      <name val="Times New Roman"/>
      <family val="1"/>
    </font>
    <font>
      <b/>
      <sz val="10"/>
      <color indexed="10"/>
      <name val="Times New Roman"/>
      <family val="1"/>
    </font>
    <font>
      <b/>
      <sz val="10"/>
      <color indexed="12"/>
      <name val="Times New Roman"/>
      <family val="1"/>
    </font>
    <font>
      <sz val="10"/>
      <name val="Times New Roman"/>
      <family val="1"/>
    </font>
    <font>
      <sz val="10"/>
      <color indexed="12"/>
      <name val="Times New Roman"/>
      <family val="1"/>
    </font>
    <font>
      <b/>
      <u/>
      <sz val="10"/>
      <name val="Times New Roman"/>
      <family val="1"/>
    </font>
    <font>
      <b/>
      <sz val="10"/>
      <color rgb="FF0070C0"/>
      <name val="Times New Roman"/>
      <family val="1"/>
    </font>
    <font>
      <b/>
      <sz val="10"/>
      <color theme="4"/>
      <name val="Times New Roman"/>
      <family val="1"/>
    </font>
    <font>
      <sz val="10"/>
      <color theme="1"/>
      <name val="Times New Roman"/>
      <family val="1"/>
    </font>
    <font>
      <sz val="11"/>
      <color theme="1"/>
      <name val="Times New Roman"/>
      <family val="1"/>
    </font>
    <font>
      <b/>
      <sz val="10"/>
      <color theme="1"/>
      <name val="Times New Roman"/>
      <family val="1"/>
    </font>
    <font>
      <b/>
      <sz val="10"/>
      <color theme="1"/>
      <name val="Calibri"/>
      <family val="2"/>
    </font>
    <font>
      <sz val="10"/>
      <color theme="1"/>
      <name val="Calibri"/>
      <family val="2"/>
    </font>
    <font>
      <b/>
      <sz val="10"/>
      <color rgb="FFFF0000"/>
      <name val="Times New Roman"/>
      <family val="1"/>
    </font>
    <font>
      <sz val="12"/>
      <color theme="1"/>
      <name val="Times New Roman"/>
      <family val="1"/>
    </font>
    <font>
      <b/>
      <sz val="14"/>
      <color indexed="9"/>
      <name val="Times New Roman"/>
      <family val="1"/>
    </font>
    <font>
      <sz val="14"/>
      <name val="Times New Roman"/>
      <family val="1"/>
    </font>
    <font>
      <sz val="14"/>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theme="0"/>
        <bgColor indexed="64"/>
      </patternFill>
    </fill>
  </fills>
  <borders count="1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0" fillId="0" borderId="1" xfId="0" applyBorder="1"/>
    <xf numFmtId="0" fontId="0" fillId="0" borderId="2" xfId="0" applyBorder="1"/>
    <xf numFmtId="0" fontId="5" fillId="2" borderId="0" xfId="0" applyFont="1" applyFill="1" applyBorder="1" applyAlignment="1">
      <alignment horizontal="left"/>
    </xf>
    <xf numFmtId="0" fontId="5"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3" fillId="2" borderId="0" xfId="0" applyFont="1" applyFill="1" applyBorder="1"/>
    <xf numFmtId="0" fontId="0" fillId="2" borderId="0" xfId="0" applyFill="1" applyBorder="1"/>
    <xf numFmtId="0" fontId="0" fillId="2" borderId="2" xfId="0" applyFill="1" applyBorder="1"/>
    <xf numFmtId="0" fontId="2" fillId="2" borderId="9" xfId="0" applyFont="1" applyFill="1" applyBorder="1"/>
    <xf numFmtId="0" fontId="2" fillId="2" borderId="9" xfId="0" applyFont="1" applyFill="1" applyBorder="1" applyAlignment="1">
      <alignment horizontal="right"/>
    </xf>
    <xf numFmtId="166" fontId="4" fillId="2" borderId="0" xfId="1" applyNumberFormat="1" applyFont="1" applyFill="1" applyBorder="1"/>
    <xf numFmtId="44" fontId="4" fillId="2" borderId="0" xfId="2" applyFont="1" applyFill="1" applyBorder="1"/>
    <xf numFmtId="9" fontId="4" fillId="2" borderId="0" xfId="3" applyFont="1" applyFill="1" applyBorder="1"/>
    <xf numFmtId="44" fontId="2" fillId="2" borderId="0" xfId="2" applyFont="1" applyFill="1" applyBorder="1"/>
    <xf numFmtId="164" fontId="4" fillId="2" borderId="0" xfId="1" applyNumberFormat="1" applyFont="1" applyFill="1" applyBorder="1"/>
    <xf numFmtId="0" fontId="2" fillId="2" borderId="0" xfId="0" applyFont="1" applyFill="1" applyBorder="1"/>
    <xf numFmtId="0" fontId="2" fillId="2" borderId="0" xfId="0" applyFont="1" applyFill="1" applyBorder="1" applyAlignment="1">
      <alignment horizontal="right"/>
    </xf>
    <xf numFmtId="166" fontId="2" fillId="2" borderId="0" xfId="1" applyNumberFormat="1" applyFont="1" applyFill="1" applyBorder="1"/>
    <xf numFmtId="0" fontId="0" fillId="2" borderId="4" xfId="0" applyFill="1" applyBorder="1"/>
    <xf numFmtId="0" fontId="0" fillId="2" borderId="3" xfId="0" applyFill="1" applyBorder="1"/>
    <xf numFmtId="0" fontId="0" fillId="2" borderId="10" xfId="0" applyFill="1" applyBorder="1"/>
    <xf numFmtId="7" fontId="4" fillId="2" borderId="0" xfId="2" applyNumberFormat="1" applyFont="1" applyFill="1" applyBorder="1"/>
    <xf numFmtId="7" fontId="2" fillId="2" borderId="0" xfId="2" applyNumberFormat="1" applyFont="1" applyFill="1" applyBorder="1"/>
    <xf numFmtId="43" fontId="2" fillId="2" borderId="9" xfId="0" applyNumberFormat="1" applyFont="1" applyFill="1" applyBorder="1"/>
    <xf numFmtId="0" fontId="4" fillId="2" borderId="0" xfId="0" applyFont="1" applyFill="1" applyBorder="1" applyAlignment="1">
      <alignment horizontal="left"/>
    </xf>
    <xf numFmtId="0" fontId="2" fillId="2" borderId="9" xfId="0" applyFont="1" applyFill="1" applyBorder="1" applyAlignment="1">
      <alignment horizontal="center"/>
    </xf>
    <xf numFmtId="0" fontId="0" fillId="2" borderId="0" xfId="0" applyFill="1" applyBorder="1" applyAlignment="1">
      <alignment horizontal="center"/>
    </xf>
    <xf numFmtId="166" fontId="0" fillId="2" borderId="0" xfId="0" applyNumberFormat="1" applyFill="1" applyBorder="1"/>
    <xf numFmtId="164" fontId="0" fillId="2" borderId="0" xfId="1" applyNumberFormat="1" applyFont="1" applyFill="1" applyBorder="1"/>
    <xf numFmtId="166" fontId="0" fillId="2" borderId="0" xfId="1" applyNumberFormat="1" applyFont="1" applyFill="1" applyBorder="1"/>
    <xf numFmtId="0" fontId="2" fillId="2" borderId="0" xfId="0" applyFont="1" applyFill="1" applyBorder="1" applyAlignment="1">
      <alignment horizontal="center"/>
    </xf>
    <xf numFmtId="166" fontId="6" fillId="2" borderId="0" xfId="0" applyNumberFormat="1" applyFont="1" applyFill="1" applyBorder="1"/>
    <xf numFmtId="5" fontId="0" fillId="2" borderId="0" xfId="2" applyNumberFormat="1" applyFont="1" applyFill="1" applyBorder="1"/>
    <xf numFmtId="5" fontId="0" fillId="2" borderId="0" xfId="0" applyNumberFormat="1" applyFill="1" applyBorder="1"/>
    <xf numFmtId="5" fontId="0" fillId="2" borderId="9" xfId="0" applyNumberFormat="1" applyFill="1" applyBorder="1"/>
    <xf numFmtId="0" fontId="0" fillId="2" borderId="0" xfId="0" applyFill="1"/>
    <xf numFmtId="0" fontId="0" fillId="2" borderId="0" xfId="0" applyFill="1" applyBorder="1" applyAlignment="1">
      <alignment horizontal="right"/>
    </xf>
    <xf numFmtId="167" fontId="4" fillId="2" borderId="0" xfId="3" applyNumberFormat="1" applyFont="1" applyFill="1" applyBorder="1"/>
    <xf numFmtId="43" fontId="4" fillId="2" borderId="0" xfId="1" applyFont="1" applyFill="1" applyBorder="1"/>
    <xf numFmtId="0" fontId="0" fillId="2" borderId="0" xfId="0" applyFill="1" applyBorder="1" applyAlignment="1">
      <alignment horizontal="left"/>
    </xf>
    <xf numFmtId="0" fontId="2" fillId="2" borderId="0" xfId="0" applyFont="1" applyFill="1" applyBorder="1" applyAlignment="1">
      <alignment horizontal="left"/>
    </xf>
    <xf numFmtId="5" fontId="2" fillId="2" borderId="0" xfId="2" applyNumberFormat="1" applyFont="1" applyFill="1" applyBorder="1"/>
    <xf numFmtId="0" fontId="2"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0" xfId="0" applyFont="1" applyFill="1" applyBorder="1" applyAlignment="1">
      <alignment horizontal="right"/>
    </xf>
    <xf numFmtId="43" fontId="2" fillId="2" borderId="0" xfId="1" applyFont="1" applyFill="1" applyBorder="1"/>
    <xf numFmtId="43" fontId="2" fillId="2" borderId="9" xfId="1" applyFont="1" applyFill="1" applyBorder="1"/>
    <xf numFmtId="43" fontId="2" fillId="2" borderId="0" xfId="0" applyNumberFormat="1" applyFont="1" applyFill="1" applyBorder="1"/>
    <xf numFmtId="171" fontId="4" fillId="2" borderId="0" xfId="1" applyNumberFormat="1" applyFont="1" applyFill="1" applyBorder="1"/>
    <xf numFmtId="10" fontId="4" fillId="2" borderId="0" xfId="3" applyNumberFormat="1" applyFont="1" applyFill="1" applyBorder="1"/>
    <xf numFmtId="166" fontId="3" fillId="2" borderId="0" xfId="1" applyNumberFormat="1" applyFont="1" applyFill="1" applyBorder="1"/>
    <xf numFmtId="166" fontId="2" fillId="2" borderId="0" xfId="1" applyNumberFormat="1" applyFont="1" applyFill="1" applyBorder="1" applyAlignment="1">
      <alignment horizontal="right"/>
    </xf>
    <xf numFmtId="0" fontId="5" fillId="2" borderId="0" xfId="0" applyFont="1" applyFill="1" applyBorder="1" applyAlignment="1">
      <alignment horizontal="center"/>
    </xf>
    <xf numFmtId="165" fontId="4" fillId="2" borderId="9" xfId="3" applyNumberFormat="1" applyFont="1" applyFill="1" applyBorder="1"/>
    <xf numFmtId="166" fontId="2" fillId="2" borderId="9" xfId="1" applyNumberFormat="1" applyFont="1" applyFill="1" applyBorder="1"/>
    <xf numFmtId="0" fontId="0" fillId="2" borderId="9" xfId="0" applyFill="1" applyBorder="1"/>
    <xf numFmtId="166" fontId="2" fillId="2" borderId="0" xfId="0" applyNumberFormat="1" applyFont="1" applyFill="1" applyBorder="1"/>
    <xf numFmtId="164" fontId="2" fillId="2" borderId="0" xfId="1" applyNumberFormat="1" applyFont="1" applyFill="1" applyBorder="1"/>
    <xf numFmtId="5" fontId="2" fillId="2" borderId="0" xfId="1" applyNumberFormat="1" applyFont="1" applyFill="1" applyBorder="1"/>
    <xf numFmtId="5" fontId="4" fillId="2" borderId="0" xfId="2" applyNumberFormat="1" applyFont="1" applyFill="1" applyBorder="1"/>
    <xf numFmtId="5" fontId="2" fillId="2" borderId="0" xfId="0" applyNumberFormat="1" applyFont="1" applyFill="1" applyBorder="1"/>
    <xf numFmtId="5" fontId="2" fillId="2" borderId="9" xfId="0" applyNumberFormat="1" applyFont="1" applyFill="1" applyBorder="1"/>
    <xf numFmtId="5" fontId="2" fillId="3" borderId="0" xfId="2" applyNumberFormat="1" applyFont="1" applyFill="1" applyBorder="1"/>
    <xf numFmtId="0" fontId="4" fillId="2" borderId="0" xfId="0" applyFont="1" applyFill="1" applyBorder="1" applyAlignment="1">
      <alignment horizontal="right"/>
    </xf>
    <xf numFmtId="5" fontId="2" fillId="3" borderId="11" xfId="0" applyNumberFormat="1" applyFont="1" applyFill="1" applyBorder="1"/>
    <xf numFmtId="43" fontId="2" fillId="3" borderId="11" xfId="1" applyFont="1" applyFill="1" applyBorder="1"/>
    <xf numFmtId="7" fontId="2" fillId="3" borderId="11" xfId="2" applyNumberFormat="1" applyFont="1" applyFill="1" applyBorder="1"/>
    <xf numFmtId="164" fontId="2" fillId="3" borderId="5" xfId="1" applyNumberFormat="1" applyFont="1" applyFill="1" applyBorder="1"/>
    <xf numFmtId="166" fontId="2" fillId="3" borderId="11" xfId="1" applyNumberFormat="1" applyFont="1" applyFill="1" applyBorder="1" applyAlignment="1">
      <alignment horizontal="right"/>
    </xf>
    <xf numFmtId="171" fontId="2" fillId="3" borderId="11" xfId="0" applyNumberFormat="1" applyFont="1" applyFill="1" applyBorder="1"/>
    <xf numFmtId="5" fontId="2" fillId="3" borderId="11" xfId="2" applyNumberFormat="1" applyFont="1" applyFill="1" applyBorder="1"/>
    <xf numFmtId="0" fontId="5"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left" vertical="top" wrapText="1"/>
    </xf>
    <xf numFmtId="0" fontId="1" fillId="5" borderId="6" xfId="0" applyFont="1" applyFill="1" applyBorder="1"/>
    <xf numFmtId="0" fontId="1" fillId="5" borderId="7" xfId="0" applyFont="1" applyFill="1" applyBorder="1"/>
    <xf numFmtId="0" fontId="1" fillId="5" borderId="8" xfId="0" applyFont="1" applyFill="1" applyBorder="1"/>
    <xf numFmtId="0" fontId="1" fillId="0" borderId="0" xfId="0" applyFont="1" applyFill="1"/>
    <xf numFmtId="0" fontId="1" fillId="5" borderId="1" xfId="0" applyFont="1" applyFill="1" applyBorder="1"/>
    <xf numFmtId="0" fontId="1" fillId="5" borderId="2" xfId="0" applyFont="1" applyFill="1" applyBorder="1"/>
    <xf numFmtId="0" fontId="2" fillId="5" borderId="9" xfId="0" applyFont="1" applyFill="1" applyBorder="1"/>
    <xf numFmtId="0" fontId="7" fillId="5" borderId="0" xfId="0" applyFont="1" applyFill="1" applyBorder="1"/>
    <xf numFmtId="0" fontId="2" fillId="5" borderId="9" xfId="0" applyFont="1" applyFill="1" applyBorder="1" applyAlignment="1">
      <alignment horizontal="right"/>
    </xf>
    <xf numFmtId="0" fontId="1" fillId="5" borderId="0" xfId="0" applyFont="1" applyFill="1" applyBorder="1"/>
    <xf numFmtId="3" fontId="1" fillId="5" borderId="0" xfId="0" applyNumberFormat="1" applyFont="1" applyFill="1" applyBorder="1" applyAlignment="1">
      <alignment horizontal="right"/>
    </xf>
    <xf numFmtId="170" fontId="1" fillId="5" borderId="0" xfId="0" applyNumberFormat="1" applyFont="1" applyFill="1" applyBorder="1" applyAlignment="1">
      <alignment horizontal="right"/>
    </xf>
    <xf numFmtId="165" fontId="1" fillId="5" borderId="0" xfId="3" applyNumberFormat="1" applyFont="1" applyFill="1" applyBorder="1" applyAlignment="1">
      <alignment horizontal="right"/>
    </xf>
    <xf numFmtId="169" fontId="1" fillId="5" borderId="0" xfId="0" applyNumberFormat="1" applyFont="1" applyFill="1" applyBorder="1" applyAlignment="1">
      <alignment horizontal="right"/>
    </xf>
    <xf numFmtId="172" fontId="1" fillId="5" borderId="0" xfId="0" applyNumberFormat="1" applyFont="1" applyFill="1" applyBorder="1" applyAlignment="1">
      <alignment horizontal="right"/>
    </xf>
    <xf numFmtId="0" fontId="1" fillId="5" borderId="0" xfId="0" applyFont="1" applyFill="1" applyBorder="1" applyAlignment="1">
      <alignment horizontal="left" indent="1"/>
    </xf>
    <xf numFmtId="3" fontId="1" fillId="5" borderId="9" xfId="0" applyNumberFormat="1" applyFont="1" applyFill="1" applyBorder="1" applyAlignment="1">
      <alignment horizontal="right"/>
    </xf>
    <xf numFmtId="0" fontId="1" fillId="5" borderId="0" xfId="0" applyFont="1" applyFill="1" applyBorder="1" applyAlignment="1">
      <alignment horizontal="left"/>
    </xf>
    <xf numFmtId="5" fontId="1" fillId="5" borderId="0" xfId="0" applyNumberFormat="1" applyFont="1" applyFill="1" applyBorder="1"/>
    <xf numFmtId="43" fontId="1" fillId="5" borderId="0" xfId="1" applyFont="1" applyFill="1" applyBorder="1"/>
    <xf numFmtId="164" fontId="1" fillId="5" borderId="0" xfId="1" applyNumberFormat="1" applyFont="1" applyFill="1" applyBorder="1"/>
    <xf numFmtId="0" fontId="1" fillId="5" borderId="4" xfId="0" applyFont="1" applyFill="1" applyBorder="1"/>
    <xf numFmtId="0" fontId="1" fillId="5" borderId="3" xfId="0" applyFont="1" applyFill="1" applyBorder="1" applyAlignment="1">
      <alignment horizontal="left"/>
    </xf>
    <xf numFmtId="5" fontId="1" fillId="5" borderId="3" xfId="0" applyNumberFormat="1" applyFont="1" applyFill="1" applyBorder="1"/>
    <xf numFmtId="0" fontId="1" fillId="5" borderId="10" xfId="0" applyFont="1" applyFill="1" applyBorder="1"/>
    <xf numFmtId="42" fontId="1" fillId="5" borderId="0" xfId="0" applyNumberFormat="1" applyFont="1" applyFill="1" applyBorder="1"/>
    <xf numFmtId="166" fontId="1" fillId="5" borderId="0" xfId="1" applyNumberFormat="1" applyFont="1" applyFill="1" applyBorder="1" applyAlignment="1">
      <alignment horizontal="right"/>
    </xf>
    <xf numFmtId="0" fontId="1" fillId="5" borderId="0" xfId="0" applyFont="1" applyFill="1" applyBorder="1" applyAlignment="1">
      <alignment horizontal="left" vertical="center"/>
    </xf>
    <xf numFmtId="170" fontId="8" fillId="5" borderId="0" xfId="0" applyNumberFormat="1" applyFont="1" applyFill="1" applyBorder="1" applyAlignment="1">
      <alignment horizontal="right"/>
    </xf>
    <xf numFmtId="169" fontId="8" fillId="5" borderId="0" xfId="0" applyNumberFormat="1" applyFont="1" applyFill="1" applyBorder="1" applyAlignment="1">
      <alignment horizontal="right"/>
    </xf>
    <xf numFmtId="3" fontId="9" fillId="5" borderId="0" xfId="0" applyNumberFormat="1" applyFont="1" applyFill="1" applyBorder="1" applyAlignment="1">
      <alignment horizontal="right"/>
    </xf>
    <xf numFmtId="0" fontId="1" fillId="5" borderId="7" xfId="0" applyFont="1" applyFill="1" applyBorder="1" applyAlignment="1">
      <alignment horizontal="left"/>
    </xf>
    <xf numFmtId="42" fontId="1" fillId="5" borderId="7" xfId="0" applyNumberFormat="1" applyFont="1" applyFill="1" applyBorder="1"/>
    <xf numFmtId="0" fontId="1" fillId="0" borderId="3" xfId="0" applyFont="1" applyFill="1" applyBorder="1"/>
    <xf numFmtId="168" fontId="1" fillId="5" borderId="3" xfId="0" applyNumberFormat="1" applyFont="1" applyFill="1" applyBorder="1"/>
    <xf numFmtId="5" fontId="2" fillId="3" borderId="5" xfId="1" applyNumberFormat="1" applyFont="1" applyFill="1" applyBorder="1"/>
    <xf numFmtId="0" fontId="10" fillId="5" borderId="6" xfId="0" applyFont="1" applyFill="1" applyBorder="1"/>
    <xf numFmtId="0" fontId="10" fillId="5" borderId="7" xfId="0" applyFont="1" applyFill="1" applyBorder="1"/>
    <xf numFmtId="0" fontId="11" fillId="5" borderId="7" xfId="0" applyFont="1" applyFill="1" applyBorder="1" applyAlignment="1"/>
    <xf numFmtId="0" fontId="10" fillId="5" borderId="8" xfId="0" applyFont="1" applyFill="1" applyBorder="1"/>
    <xf numFmtId="0" fontId="10" fillId="0" borderId="0" xfId="0" applyFont="1"/>
    <xf numFmtId="0" fontId="10" fillId="5" borderId="1" xfId="0" applyFont="1" applyFill="1" applyBorder="1"/>
    <xf numFmtId="0" fontId="10" fillId="5" borderId="0" xfId="0" applyFont="1" applyFill="1" applyBorder="1"/>
    <xf numFmtId="0" fontId="11" fillId="5" borderId="0" xfId="0" applyFont="1" applyFill="1" applyBorder="1" applyAlignment="1"/>
    <xf numFmtId="0" fontId="10" fillId="5" borderId="2" xfId="0" applyFont="1" applyFill="1" applyBorder="1"/>
    <xf numFmtId="164" fontId="11" fillId="5" borderId="0" xfId="1" applyNumberFormat="1" applyFont="1" applyFill="1" applyBorder="1" applyAlignment="1"/>
    <xf numFmtId="0" fontId="12" fillId="5" borderId="0" xfId="0" applyFont="1" applyFill="1" applyBorder="1"/>
    <xf numFmtId="0" fontId="12" fillId="5" borderId="9" xfId="0" applyFont="1" applyFill="1" applyBorder="1"/>
    <xf numFmtId="0" fontId="12" fillId="5" borderId="9" xfId="0" applyFont="1" applyFill="1" applyBorder="1" applyAlignment="1">
      <alignment horizontal="right"/>
    </xf>
    <xf numFmtId="173" fontId="10" fillId="5" borderId="0" xfId="1" applyNumberFormat="1" applyFont="1" applyFill="1" applyBorder="1"/>
    <xf numFmtId="164" fontId="10" fillId="5" borderId="0" xfId="1" applyNumberFormat="1" applyFont="1" applyFill="1" applyBorder="1"/>
    <xf numFmtId="174" fontId="10" fillId="5" borderId="0" xfId="0" applyNumberFormat="1" applyFont="1" applyFill="1" applyBorder="1"/>
    <xf numFmtId="165" fontId="15" fillId="5" borderId="0" xfId="3" applyNumberFormat="1" applyFont="1" applyFill="1" applyBorder="1"/>
    <xf numFmtId="0" fontId="12" fillId="5" borderId="0" xfId="0" applyFont="1" applyFill="1" applyBorder="1" applyAlignment="1">
      <alignment horizontal="right"/>
    </xf>
    <xf numFmtId="165" fontId="10" fillId="5" borderId="0" xfId="3" applyNumberFormat="1" applyFont="1" applyFill="1" applyBorder="1"/>
    <xf numFmtId="0" fontId="10" fillId="5" borderId="4" xfId="0" applyFont="1" applyFill="1" applyBorder="1"/>
    <xf numFmtId="0" fontId="10" fillId="5" borderId="3" xfId="0" applyFont="1" applyFill="1" applyBorder="1"/>
    <xf numFmtId="164" fontId="11" fillId="5" borderId="3" xfId="1" applyNumberFormat="1" applyFont="1" applyFill="1" applyBorder="1" applyAlignment="1"/>
    <xf numFmtId="0" fontId="10" fillId="5" borderId="10" xfId="0" applyFont="1" applyFill="1" applyBorder="1"/>
    <xf numFmtId="174" fontId="15" fillId="5" borderId="0" xfId="0" applyNumberFormat="1" applyFont="1" applyFill="1" applyBorder="1"/>
    <xf numFmtId="0" fontId="10" fillId="5" borderId="0" xfId="0" applyFont="1" applyFill="1"/>
    <xf numFmtId="0" fontId="11" fillId="0" borderId="0" xfId="0" applyFont="1" applyAlignment="1"/>
    <xf numFmtId="0" fontId="16" fillId="0" borderId="1" xfId="0" applyFont="1" applyBorder="1"/>
    <xf numFmtId="0" fontId="16" fillId="0" borderId="2" xfId="0" applyFont="1" applyBorder="1"/>
    <xf numFmtId="0" fontId="16" fillId="0" borderId="0" xfId="0" applyFont="1"/>
    <xf numFmtId="0" fontId="5" fillId="2" borderId="0" xfId="0" applyNumberFormat="1" applyFont="1" applyFill="1" applyBorder="1" applyAlignment="1">
      <alignment horizontal="left" vertical="top" wrapText="1"/>
    </xf>
    <xf numFmtId="0" fontId="10" fillId="0" borderId="1" xfId="0" applyFont="1" applyBorder="1"/>
    <xf numFmtId="0" fontId="10" fillId="0" borderId="2" xfId="0" applyFont="1" applyBorder="1"/>
    <xf numFmtId="0" fontId="12" fillId="5" borderId="0" xfId="0" applyFont="1" applyFill="1" applyBorder="1" applyAlignment="1">
      <alignment horizontal="center"/>
    </xf>
    <xf numFmtId="166" fontId="12" fillId="5" borderId="0" xfId="1" applyNumberFormat="1" applyFont="1" applyFill="1" applyBorder="1"/>
    <xf numFmtId="7" fontId="12" fillId="5" borderId="0" xfId="0" applyNumberFormat="1" applyFont="1" applyFill="1" applyBorder="1"/>
    <xf numFmtId="43" fontId="12" fillId="5" borderId="0" xfId="1" applyFont="1" applyFill="1" applyBorder="1"/>
    <xf numFmtId="175" fontId="12" fillId="5" borderId="0" xfId="0" applyNumberFormat="1" applyFont="1" applyFill="1" applyBorder="1"/>
    <xf numFmtId="176" fontId="12" fillId="5" borderId="0" xfId="0" applyNumberFormat="1" applyFont="1" applyFill="1" applyBorder="1"/>
    <xf numFmtId="43" fontId="10" fillId="5" borderId="0" xfId="1" applyFont="1" applyFill="1" applyBorder="1"/>
    <xf numFmtId="0" fontId="10" fillId="5" borderId="9" xfId="0" applyFont="1" applyFill="1" applyBorder="1" applyAlignment="1">
      <alignment horizontal="left"/>
    </xf>
    <xf numFmtId="0" fontId="10" fillId="5" borderId="9" xfId="0" applyFont="1" applyFill="1" applyBorder="1" applyAlignment="1">
      <alignment horizontal="right"/>
    </xf>
    <xf numFmtId="177" fontId="10" fillId="5" borderId="0" xfId="0" applyNumberFormat="1" applyFont="1" applyFill="1" applyBorder="1"/>
    <xf numFmtId="167" fontId="12" fillId="5" borderId="0" xfId="3" applyNumberFormat="1" applyFont="1" applyFill="1" applyBorder="1"/>
    <xf numFmtId="178" fontId="12" fillId="5" borderId="0" xfId="0" applyNumberFormat="1" applyFont="1" applyFill="1" applyBorder="1"/>
    <xf numFmtId="0" fontId="12" fillId="5" borderId="9" xfId="0" applyFont="1" applyFill="1" applyBorder="1" applyAlignment="1">
      <alignment horizontal="left"/>
    </xf>
    <xf numFmtId="179" fontId="10" fillId="5" borderId="0" xfId="0" applyNumberFormat="1" applyFont="1" applyFill="1" applyBorder="1"/>
    <xf numFmtId="179" fontId="10" fillId="5" borderId="9" xfId="0" applyNumberFormat="1" applyFont="1" applyFill="1" applyBorder="1"/>
    <xf numFmtId="8" fontId="10" fillId="0" borderId="0" xfId="0" applyNumberFormat="1" applyFont="1"/>
    <xf numFmtId="179" fontId="1" fillId="5" borderId="9" xfId="0" applyNumberFormat="1" applyFont="1" applyFill="1" applyBorder="1"/>
    <xf numFmtId="0" fontId="17" fillId="4" borderId="0" xfId="0" applyFont="1" applyFill="1" applyBorder="1" applyAlignment="1">
      <alignment horizontal="left" vertical="center"/>
    </xf>
    <xf numFmtId="0" fontId="18" fillId="0" borderId="0" xfId="0" applyFont="1" applyBorder="1" applyAlignment="1"/>
    <xf numFmtId="0" fontId="5" fillId="2" borderId="0" xfId="0" applyNumberFormat="1" applyFont="1" applyFill="1" applyBorder="1" applyAlignment="1">
      <alignment horizontal="left" vertical="top" wrapText="1"/>
    </xf>
    <xf numFmtId="0" fontId="5" fillId="2" borderId="0" xfId="0" applyFont="1" applyFill="1" applyBorder="1" applyAlignment="1">
      <alignment horizontal="left" wrapText="1"/>
    </xf>
    <xf numFmtId="0" fontId="0" fillId="0" borderId="0" xfId="0" applyAlignment="1">
      <alignment wrapText="1"/>
    </xf>
    <xf numFmtId="0" fontId="5" fillId="2" borderId="0"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pplyProtection="1">
      <alignment horizontal="left" wrapText="1"/>
    </xf>
    <xf numFmtId="0" fontId="0" fillId="0" borderId="0" xfId="0" applyAlignment="1">
      <alignment horizontal="left" vertical="top" wrapText="1"/>
    </xf>
    <xf numFmtId="0" fontId="1" fillId="2" borderId="0" xfId="0" applyFont="1" applyFill="1" applyBorder="1" applyAlignment="1">
      <alignment vertical="top" wrapText="1"/>
    </xf>
    <xf numFmtId="0" fontId="0" fillId="0" borderId="0" xfId="0" applyAlignment="1">
      <alignment vertical="top" wrapText="1"/>
    </xf>
    <xf numFmtId="0" fontId="18" fillId="0" borderId="0" xfId="0" applyFont="1" applyAlignment="1"/>
    <xf numFmtId="0" fontId="1" fillId="2" borderId="0" xfId="0" applyNumberFormat="1" applyFont="1" applyFill="1" applyBorder="1" applyAlignment="1">
      <alignment horizontal="left" vertical="top" wrapText="1"/>
    </xf>
    <xf numFmtId="0" fontId="1" fillId="2" borderId="0" xfId="0" applyFont="1" applyFill="1" applyBorder="1" applyAlignment="1">
      <alignment vertical="center" wrapText="1"/>
    </xf>
    <xf numFmtId="0" fontId="0" fillId="2" borderId="0" xfId="0" applyFill="1" applyBorder="1" applyAlignment="1">
      <alignment vertical="center" wrapText="1"/>
    </xf>
    <xf numFmtId="0" fontId="1" fillId="2" borderId="0" xfId="0" applyNumberFormat="1" applyFont="1" applyFill="1" applyBorder="1" applyAlignment="1">
      <alignment vertical="center" wrapText="1"/>
    </xf>
    <xf numFmtId="0" fontId="0" fillId="2" borderId="0" xfId="0" applyFill="1" applyAlignment="1">
      <alignment vertical="center" wrapText="1"/>
    </xf>
    <xf numFmtId="0" fontId="5" fillId="2" borderId="0" xfId="0" applyFont="1" applyFill="1" applyBorder="1" applyAlignment="1">
      <alignment vertical="center" wrapText="1"/>
    </xf>
    <xf numFmtId="0" fontId="1" fillId="5" borderId="0" xfId="0" applyFont="1" applyFill="1" applyBorder="1" applyAlignment="1">
      <alignment horizontal="left" vertical="center" wrapText="1"/>
    </xf>
    <xf numFmtId="0" fontId="0" fillId="0" borderId="0" xfId="0" applyAlignment="1">
      <alignment horizontal="left" vertical="center" wrapText="1"/>
    </xf>
    <xf numFmtId="0" fontId="17" fillId="4" borderId="0" xfId="0" applyFont="1" applyFill="1" applyBorder="1" applyAlignment="1">
      <alignment horizontal="left" vertical="center" wrapText="1"/>
    </xf>
    <xf numFmtId="0" fontId="18" fillId="0" borderId="0" xfId="0" applyFont="1" applyBorder="1" applyAlignment="1">
      <alignment wrapText="1"/>
    </xf>
    <xf numFmtId="0" fontId="18" fillId="0" borderId="0" xfId="0" applyFont="1" applyAlignment="1">
      <alignment wrapText="1"/>
    </xf>
    <xf numFmtId="0" fontId="10" fillId="5" borderId="0" xfId="0" applyFont="1" applyFill="1" applyBorder="1" applyAlignment="1">
      <alignment vertical="center" wrapText="1"/>
    </xf>
    <xf numFmtId="0" fontId="0" fillId="5" borderId="0" xfId="0" applyFill="1" applyAlignment="1">
      <alignment vertical="center" wrapText="1"/>
    </xf>
    <xf numFmtId="0" fontId="19" fillId="0" borderId="0" xfId="0" applyFont="1" applyBorder="1" applyAlignment="1">
      <alignment vertical="center" wrapText="1"/>
    </xf>
    <xf numFmtId="0" fontId="18" fillId="0" borderId="0" xfId="0" applyFont="1" applyBorder="1" applyAlignment="1">
      <alignment vertical="center" wrapText="1"/>
    </xf>
    <xf numFmtId="0" fontId="0" fillId="5" borderId="0" xfId="0" applyFill="1" applyBorder="1" applyAlignment="1">
      <alignment vertical="center" wrapText="1"/>
    </xf>
    <xf numFmtId="0" fontId="12" fillId="5" borderId="0" xfId="0" applyFont="1" applyFill="1" applyBorder="1" applyAlignment="1">
      <alignment vertical="center" wrapText="1"/>
    </xf>
    <xf numFmtId="0" fontId="5" fillId="2" borderId="12" xfId="0" applyFont="1" applyFill="1" applyBorder="1" applyAlignment="1">
      <alignment vertical="center" wrapText="1"/>
    </xf>
    <xf numFmtId="0" fontId="0" fillId="2" borderId="12" xfId="0" applyFill="1" applyBorder="1" applyAlignment="1">
      <alignment vertical="center" wrapText="1"/>
    </xf>
    <xf numFmtId="0" fontId="2" fillId="2" borderId="9" xfId="0" applyFont="1" applyFill="1" applyBorder="1" applyAlignment="1">
      <alignment horizontal="center"/>
    </xf>
    <xf numFmtId="0" fontId="5" fillId="2" borderId="9" xfId="0" applyFont="1" applyFill="1" applyBorder="1" applyAlignment="1">
      <alignment horizontal="center"/>
    </xf>
    <xf numFmtId="0" fontId="5" fillId="2" borderId="0" xfId="0" applyNumberFormat="1" applyFont="1" applyFill="1" applyBorder="1" applyAlignment="1">
      <alignment vertical="center" wrapText="1"/>
    </xf>
    <xf numFmtId="0" fontId="19" fillId="0" borderId="0" xfId="0" applyFont="1" applyBorder="1" applyAlignment="1">
      <alignment wrapText="1"/>
    </xf>
    <xf numFmtId="0" fontId="10" fillId="5" borderId="0" xfId="0" applyFont="1" applyFill="1" applyBorder="1" applyAlignment="1">
      <alignment wrapText="1"/>
    </xf>
    <xf numFmtId="0" fontId="0" fillId="5" borderId="0" xfId="0" applyFill="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abSelected="1" workbookViewId="0"/>
  </sheetViews>
  <sheetFormatPr defaultRowHeight="12.75" x14ac:dyDescent="0.2"/>
  <cols>
    <col min="1" max="1" width="2.83203125" customWidth="1"/>
    <col min="2" max="2" width="64.83203125" customWidth="1"/>
    <col min="3" max="3" width="2.83203125" customWidth="1"/>
    <col min="4" max="4" width="16.83203125" customWidth="1"/>
    <col min="5" max="5" width="2.83203125" customWidth="1"/>
    <col min="6" max="6" width="16.83203125" customWidth="1"/>
    <col min="7" max="7" width="2.83203125" customWidth="1"/>
  </cols>
  <sheetData>
    <row r="1" spans="1:7" x14ac:dyDescent="0.2">
      <c r="A1" s="5"/>
      <c r="B1" s="6"/>
      <c r="C1" s="6"/>
      <c r="D1" s="6"/>
      <c r="E1" s="6"/>
      <c r="F1" s="6"/>
      <c r="G1" s="7"/>
    </row>
    <row r="2" spans="1:7" ht="18.75" x14ac:dyDescent="0.3">
      <c r="A2" s="1"/>
      <c r="B2" s="163" t="s">
        <v>186</v>
      </c>
      <c r="C2" s="163"/>
      <c r="D2" s="163"/>
      <c r="E2" s="164"/>
      <c r="F2" s="164"/>
      <c r="G2" s="2"/>
    </row>
    <row r="3" spans="1:7" x14ac:dyDescent="0.2">
      <c r="A3" s="8"/>
      <c r="B3" s="9"/>
      <c r="C3" s="10"/>
      <c r="D3" s="10"/>
      <c r="E3" s="10"/>
      <c r="F3" s="10"/>
      <c r="G3" s="11"/>
    </row>
    <row r="4" spans="1:7" ht="12.75" customHeight="1" x14ac:dyDescent="0.2">
      <c r="A4" s="8"/>
      <c r="B4" s="165" t="s">
        <v>139</v>
      </c>
      <c r="C4" s="165"/>
      <c r="D4" s="165"/>
      <c r="E4" s="165"/>
      <c r="F4" s="165"/>
      <c r="G4" s="11"/>
    </row>
    <row r="5" spans="1:7" x14ac:dyDescent="0.2">
      <c r="A5" s="8"/>
      <c r="B5" s="165"/>
      <c r="C5" s="165"/>
      <c r="D5" s="165"/>
      <c r="E5" s="165"/>
      <c r="F5" s="165"/>
      <c r="G5" s="11"/>
    </row>
    <row r="6" spans="1:7" x14ac:dyDescent="0.2">
      <c r="A6" s="8"/>
      <c r="B6" s="165"/>
      <c r="C6" s="165"/>
      <c r="D6" s="165"/>
      <c r="E6" s="165"/>
      <c r="F6" s="165"/>
      <c r="G6" s="11"/>
    </row>
    <row r="7" spans="1:7" x14ac:dyDescent="0.2">
      <c r="A7" s="8"/>
      <c r="B7" s="165"/>
      <c r="C7" s="165"/>
      <c r="D7" s="165"/>
      <c r="E7" s="165"/>
      <c r="F7" s="165"/>
      <c r="G7" s="11"/>
    </row>
    <row r="8" spans="1:7" x14ac:dyDescent="0.2">
      <c r="A8" s="8"/>
      <c r="B8" s="165"/>
      <c r="C8" s="165"/>
      <c r="D8" s="165"/>
      <c r="E8" s="165"/>
      <c r="F8" s="165"/>
      <c r="G8" s="11"/>
    </row>
    <row r="9" spans="1:7" x14ac:dyDescent="0.2">
      <c r="A9" s="8"/>
      <c r="B9" s="165"/>
      <c r="C9" s="165"/>
      <c r="D9" s="165"/>
      <c r="E9" s="165"/>
      <c r="F9" s="165"/>
      <c r="G9" s="11"/>
    </row>
    <row r="10" spans="1:7" x14ac:dyDescent="0.2">
      <c r="A10" s="8"/>
      <c r="B10" s="165"/>
      <c r="C10" s="165"/>
      <c r="D10" s="165"/>
      <c r="E10" s="165"/>
      <c r="F10" s="165"/>
      <c r="G10" s="11"/>
    </row>
    <row r="11" spans="1:7" x14ac:dyDescent="0.2">
      <c r="A11" s="8"/>
      <c r="B11" s="165"/>
      <c r="C11" s="165"/>
      <c r="D11" s="165"/>
      <c r="E11" s="165"/>
      <c r="F11" s="165"/>
      <c r="G11" s="11"/>
    </row>
    <row r="12" spans="1:7" x14ac:dyDescent="0.2">
      <c r="A12" s="8"/>
      <c r="B12" s="165"/>
      <c r="C12" s="165"/>
      <c r="D12" s="165"/>
      <c r="E12" s="165"/>
      <c r="F12" s="165"/>
      <c r="G12" s="11"/>
    </row>
    <row r="13" spans="1:7" x14ac:dyDescent="0.2">
      <c r="A13" s="8"/>
      <c r="B13" s="165"/>
      <c r="C13" s="165"/>
      <c r="D13" s="165"/>
      <c r="E13" s="165"/>
      <c r="F13" s="165"/>
      <c r="G13" s="11"/>
    </row>
    <row r="14" spans="1:7" x14ac:dyDescent="0.2">
      <c r="A14" s="8"/>
      <c r="B14" s="165"/>
      <c r="C14" s="165"/>
      <c r="D14" s="165"/>
      <c r="E14" s="165"/>
      <c r="F14" s="165"/>
      <c r="G14" s="11"/>
    </row>
    <row r="15" spans="1:7" x14ac:dyDescent="0.2">
      <c r="A15" s="8"/>
      <c r="B15" s="165"/>
      <c r="C15" s="165"/>
      <c r="D15" s="165"/>
      <c r="E15" s="165"/>
      <c r="F15" s="165"/>
      <c r="G15" s="11"/>
    </row>
    <row r="16" spans="1:7" x14ac:dyDescent="0.2">
      <c r="A16" s="8"/>
      <c r="B16" s="165"/>
      <c r="C16" s="165"/>
      <c r="D16" s="165"/>
      <c r="E16" s="165"/>
      <c r="F16" s="165"/>
      <c r="G16" s="11"/>
    </row>
    <row r="17" spans="1:7" x14ac:dyDescent="0.2">
      <c r="A17" s="8"/>
      <c r="B17" s="75"/>
      <c r="C17" s="75"/>
      <c r="D17" s="75"/>
      <c r="E17" s="75"/>
      <c r="F17" s="75"/>
      <c r="G17" s="11"/>
    </row>
    <row r="18" spans="1:7" x14ac:dyDescent="0.2">
      <c r="A18" s="8"/>
      <c r="B18" s="77" t="s">
        <v>134</v>
      </c>
      <c r="C18" s="76"/>
      <c r="D18" s="76"/>
      <c r="E18" s="76"/>
      <c r="F18" s="76"/>
      <c r="G18" s="11"/>
    </row>
    <row r="19" spans="1:7" x14ac:dyDescent="0.2">
      <c r="A19" s="8"/>
      <c r="B19" s="10"/>
      <c r="C19" s="10"/>
      <c r="D19" s="10"/>
      <c r="E19" s="10"/>
      <c r="F19" s="10"/>
      <c r="G19" s="11"/>
    </row>
    <row r="20" spans="1:7" x14ac:dyDescent="0.2">
      <c r="A20" s="8"/>
      <c r="B20" s="10" t="s">
        <v>135</v>
      </c>
      <c r="C20" s="10"/>
      <c r="D20" s="10"/>
      <c r="E20" s="10"/>
      <c r="F20" s="10"/>
      <c r="G20" s="11"/>
    </row>
    <row r="21" spans="1:7" x14ac:dyDescent="0.2">
      <c r="A21" s="8"/>
      <c r="B21" s="10" t="s">
        <v>136</v>
      </c>
      <c r="C21" s="10"/>
      <c r="D21" s="10"/>
      <c r="E21" s="10"/>
      <c r="F21" s="10"/>
      <c r="G21" s="11"/>
    </row>
    <row r="22" spans="1:7" x14ac:dyDescent="0.2">
      <c r="A22" s="8"/>
      <c r="B22" s="10" t="s">
        <v>115</v>
      </c>
      <c r="C22" s="10"/>
      <c r="D22" s="10"/>
      <c r="E22" s="10"/>
      <c r="F22" s="10"/>
      <c r="G22" s="11"/>
    </row>
    <row r="23" spans="1:7" x14ac:dyDescent="0.2">
      <c r="A23" s="8"/>
      <c r="B23" s="10"/>
      <c r="C23" s="10"/>
      <c r="D23" s="10"/>
      <c r="E23" s="10"/>
      <c r="F23" s="10"/>
      <c r="G23" s="11"/>
    </row>
    <row r="24" spans="1:7" x14ac:dyDescent="0.2">
      <c r="A24" s="8"/>
      <c r="B24" s="39"/>
      <c r="C24" s="10"/>
      <c r="D24" s="13" t="s">
        <v>99</v>
      </c>
      <c r="E24" s="10"/>
      <c r="F24" s="29" t="s">
        <v>53</v>
      </c>
      <c r="G24" s="11"/>
    </row>
    <row r="25" spans="1:7" x14ac:dyDescent="0.2">
      <c r="A25" s="8"/>
      <c r="B25" s="40" t="s">
        <v>95</v>
      </c>
      <c r="C25" s="10"/>
      <c r="D25" s="14">
        <v>100000000</v>
      </c>
      <c r="E25" s="10"/>
      <c r="F25" s="30" t="s">
        <v>92</v>
      </c>
      <c r="G25" s="11"/>
    </row>
    <row r="26" spans="1:7" x14ac:dyDescent="0.2">
      <c r="A26" s="8"/>
      <c r="B26" s="40" t="s">
        <v>96</v>
      </c>
      <c r="C26" s="10"/>
      <c r="D26" s="21">
        <v>12</v>
      </c>
      <c r="E26" s="10"/>
      <c r="F26" s="30"/>
      <c r="G26" s="11"/>
    </row>
    <row r="27" spans="1:7" x14ac:dyDescent="0.2">
      <c r="A27" s="8"/>
      <c r="B27" s="40" t="s">
        <v>87</v>
      </c>
      <c r="C27" s="10"/>
      <c r="D27" s="21">
        <f>D25*D26</f>
        <v>1200000000</v>
      </c>
      <c r="E27" s="10"/>
      <c r="F27" s="30" t="s">
        <v>92</v>
      </c>
      <c r="G27" s="11"/>
    </row>
    <row r="28" spans="1:7" x14ac:dyDescent="0.2">
      <c r="A28" s="8"/>
      <c r="B28" s="40" t="s">
        <v>88</v>
      </c>
      <c r="C28" s="10"/>
      <c r="D28" s="41">
        <v>0.04</v>
      </c>
      <c r="E28" s="10"/>
      <c r="F28" s="30" t="s">
        <v>100</v>
      </c>
      <c r="G28" s="11"/>
    </row>
    <row r="29" spans="1:7" x14ac:dyDescent="0.2">
      <c r="A29" s="8"/>
      <c r="B29" s="40" t="s">
        <v>89</v>
      </c>
      <c r="C29" s="10"/>
      <c r="D29" s="21">
        <f>D27*(1+D28)</f>
        <v>1248000000</v>
      </c>
      <c r="E29" s="10"/>
      <c r="F29" s="30" t="s">
        <v>92</v>
      </c>
      <c r="G29" s="11"/>
    </row>
    <row r="30" spans="1:7" x14ac:dyDescent="0.2">
      <c r="A30" s="8"/>
      <c r="B30" s="40" t="s">
        <v>90</v>
      </c>
      <c r="C30" s="10"/>
      <c r="D30" s="42">
        <v>125</v>
      </c>
      <c r="E30" s="10"/>
      <c r="F30" s="30" t="s">
        <v>93</v>
      </c>
      <c r="G30" s="11"/>
    </row>
    <row r="31" spans="1:7" x14ac:dyDescent="0.2">
      <c r="A31" s="8"/>
      <c r="B31" s="40" t="s">
        <v>91</v>
      </c>
      <c r="C31" s="10"/>
      <c r="D31" s="74">
        <f>D29/D30</f>
        <v>9984000</v>
      </c>
      <c r="E31" s="10"/>
      <c r="F31" s="30" t="s">
        <v>94</v>
      </c>
      <c r="G31" s="11"/>
    </row>
    <row r="32" spans="1:7" x14ac:dyDescent="0.2">
      <c r="A32" s="8"/>
      <c r="B32" s="10"/>
      <c r="C32" s="10"/>
      <c r="D32" s="10"/>
      <c r="E32" s="10"/>
      <c r="F32" s="10"/>
      <c r="G32" s="11"/>
    </row>
    <row r="33" spans="1:7" x14ac:dyDescent="0.2">
      <c r="A33" s="8"/>
      <c r="B33" s="43" t="s">
        <v>137</v>
      </c>
      <c r="C33" s="10"/>
      <c r="D33" s="10"/>
      <c r="E33" s="10"/>
      <c r="F33" s="10"/>
      <c r="G33" s="11"/>
    </row>
    <row r="34" spans="1:7" x14ac:dyDescent="0.2">
      <c r="A34" s="8"/>
      <c r="B34" s="43" t="s">
        <v>101</v>
      </c>
      <c r="C34" s="10"/>
      <c r="D34" s="10"/>
      <c r="E34" s="10"/>
      <c r="F34" s="10"/>
      <c r="G34" s="11"/>
    </row>
    <row r="35" spans="1:7" x14ac:dyDescent="0.2">
      <c r="A35" s="8"/>
      <c r="B35" s="43" t="s">
        <v>102</v>
      </c>
      <c r="C35" s="10"/>
      <c r="D35" s="10"/>
      <c r="E35" s="10"/>
      <c r="F35" s="10"/>
      <c r="G35" s="11"/>
    </row>
    <row r="36" spans="1:7" x14ac:dyDescent="0.2">
      <c r="A36" s="8"/>
      <c r="B36" s="43" t="s">
        <v>97</v>
      </c>
      <c r="C36" s="10"/>
      <c r="D36" s="10"/>
      <c r="E36" s="10"/>
      <c r="F36" s="10"/>
      <c r="G36" s="11"/>
    </row>
    <row r="37" spans="1:7" x14ac:dyDescent="0.2">
      <c r="A37" s="8"/>
      <c r="B37" s="43"/>
      <c r="C37" s="10"/>
      <c r="D37" s="10"/>
      <c r="E37" s="10"/>
      <c r="F37" s="10"/>
      <c r="G37" s="11"/>
    </row>
    <row r="38" spans="1:7" x14ac:dyDescent="0.2">
      <c r="A38" s="8"/>
      <c r="B38" s="44" t="s">
        <v>98</v>
      </c>
      <c r="C38" s="10"/>
      <c r="D38" s="10"/>
      <c r="E38" s="10"/>
      <c r="F38" s="10"/>
      <c r="G38" s="11"/>
    </row>
    <row r="39" spans="1:7" x14ac:dyDescent="0.2">
      <c r="A39" s="8"/>
      <c r="B39" s="43"/>
      <c r="C39" s="10"/>
      <c r="D39" s="10"/>
      <c r="E39" s="10"/>
      <c r="F39" s="10"/>
      <c r="G39" s="11"/>
    </row>
    <row r="40" spans="1:7" x14ac:dyDescent="0.2">
      <c r="A40" s="8"/>
      <c r="B40" s="43" t="s">
        <v>103</v>
      </c>
      <c r="C40" s="10"/>
      <c r="D40" s="10"/>
      <c r="E40" s="10"/>
      <c r="F40" s="10"/>
      <c r="G40" s="11"/>
    </row>
    <row r="41" spans="1:7" x14ac:dyDescent="0.2">
      <c r="A41" s="8"/>
      <c r="B41" s="43" t="s">
        <v>104</v>
      </c>
      <c r="C41" s="10"/>
      <c r="D41" s="10"/>
      <c r="E41" s="10"/>
      <c r="F41" s="10"/>
      <c r="G41" s="11"/>
    </row>
    <row r="42" spans="1:7" x14ac:dyDescent="0.2">
      <c r="A42" s="8"/>
      <c r="B42" s="43"/>
      <c r="C42" s="10"/>
      <c r="D42" s="10"/>
      <c r="E42" s="10"/>
      <c r="F42" s="10"/>
      <c r="G42" s="11"/>
    </row>
    <row r="43" spans="1:7" x14ac:dyDescent="0.2">
      <c r="A43" s="8"/>
      <c r="B43" s="43" t="s">
        <v>138</v>
      </c>
      <c r="C43" s="10"/>
      <c r="D43" s="10"/>
      <c r="E43" s="10"/>
      <c r="F43" s="10"/>
      <c r="G43" s="11"/>
    </row>
    <row r="44" spans="1:7" x14ac:dyDescent="0.2">
      <c r="A44" s="8"/>
      <c r="B44" s="43" t="s">
        <v>105</v>
      </c>
      <c r="C44" s="10"/>
      <c r="D44" s="10"/>
      <c r="E44" s="10"/>
      <c r="F44" s="10"/>
      <c r="G44" s="11"/>
    </row>
    <row r="45" spans="1:7" ht="13.5" thickBot="1" x14ac:dyDescent="0.25">
      <c r="A45" s="22"/>
      <c r="B45" s="23"/>
      <c r="C45" s="23"/>
      <c r="D45" s="23"/>
      <c r="E45" s="23"/>
      <c r="F45" s="23"/>
      <c r="G45" s="24"/>
    </row>
  </sheetData>
  <mergeCells count="2">
    <mergeCell ref="B2:F2"/>
    <mergeCell ref="B4:F16"/>
  </mergeCells>
  <phoneticPr fontId="0" type="noConversion"/>
  <printOptions horizontalCentered="1"/>
  <pageMargins left="0.75" right="0.75" top="1" bottom="1" header="0.5" footer="0.5"/>
  <pageSetup paperSize="283"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heetViews>
  <sheetFormatPr defaultRowHeight="12.75" x14ac:dyDescent="0.2"/>
  <cols>
    <col min="1" max="1" width="2.83203125" customWidth="1"/>
    <col min="2" max="2" width="10.83203125" customWidth="1"/>
    <col min="3" max="3" width="2.83203125" customWidth="1"/>
    <col min="4" max="4" width="18.83203125" customWidth="1"/>
    <col min="5" max="5" width="2.83203125" customWidth="1"/>
    <col min="6" max="6" width="18.83203125" customWidth="1"/>
    <col min="7" max="7" width="2.83203125" customWidth="1"/>
    <col min="8" max="8" width="18.83203125" customWidth="1"/>
    <col min="9" max="9" width="2.83203125" customWidth="1"/>
    <col min="10" max="10" width="18.83203125" customWidth="1"/>
    <col min="11" max="11" width="2.83203125" customWidth="1"/>
    <col min="12" max="12" width="14.83203125" customWidth="1"/>
    <col min="13" max="13" width="2.83203125" customWidth="1"/>
    <col min="14" max="14" width="18.83203125" customWidth="1"/>
    <col min="15" max="15" width="2.83203125" customWidth="1"/>
  </cols>
  <sheetData>
    <row r="1" spans="1:15" x14ac:dyDescent="0.2">
      <c r="A1" s="5"/>
      <c r="B1" s="6"/>
      <c r="C1" s="6"/>
      <c r="D1" s="6"/>
      <c r="E1" s="6"/>
      <c r="F1" s="6"/>
      <c r="G1" s="6"/>
      <c r="H1" s="6"/>
      <c r="I1" s="6"/>
      <c r="J1" s="6"/>
      <c r="K1" s="6"/>
      <c r="L1" s="6"/>
      <c r="M1" s="6"/>
      <c r="N1" s="6"/>
      <c r="O1" s="7"/>
    </row>
    <row r="2" spans="1:15" ht="18.75" x14ac:dyDescent="0.3">
      <c r="A2" s="1"/>
      <c r="B2" s="163" t="s">
        <v>180</v>
      </c>
      <c r="C2" s="163"/>
      <c r="D2" s="163"/>
      <c r="E2" s="164"/>
      <c r="F2" s="164"/>
      <c r="G2" s="164"/>
      <c r="H2" s="164"/>
      <c r="I2" s="164"/>
      <c r="J2" s="164"/>
      <c r="K2" s="164"/>
      <c r="L2" s="164"/>
      <c r="M2" s="164"/>
      <c r="N2" s="164"/>
      <c r="O2" s="2"/>
    </row>
    <row r="3" spans="1:15" x14ac:dyDescent="0.2">
      <c r="A3" s="8"/>
      <c r="B3" s="9"/>
      <c r="C3" s="10"/>
      <c r="D3" s="10"/>
      <c r="E3" s="10"/>
      <c r="F3" s="10"/>
      <c r="G3" s="10"/>
      <c r="H3" s="10"/>
      <c r="I3" s="10"/>
      <c r="J3" s="10"/>
      <c r="K3" s="10"/>
      <c r="L3" s="10"/>
      <c r="M3" s="10"/>
      <c r="N3" s="10"/>
      <c r="O3" s="11"/>
    </row>
    <row r="4" spans="1:15" x14ac:dyDescent="0.2">
      <c r="A4" s="8"/>
      <c r="B4" s="196" t="s">
        <v>155</v>
      </c>
      <c r="C4" s="179"/>
      <c r="D4" s="179"/>
      <c r="E4" s="179"/>
      <c r="F4" s="179"/>
      <c r="G4" s="179"/>
      <c r="H4" s="179"/>
      <c r="I4" s="179"/>
      <c r="J4" s="179"/>
      <c r="K4" s="179"/>
      <c r="L4" s="179"/>
      <c r="M4" s="179"/>
      <c r="N4" s="179"/>
      <c r="O4" s="11"/>
    </row>
    <row r="5" spans="1:15" x14ac:dyDescent="0.2">
      <c r="A5" s="8"/>
      <c r="B5" s="179"/>
      <c r="C5" s="179"/>
      <c r="D5" s="179"/>
      <c r="E5" s="179"/>
      <c r="F5" s="179"/>
      <c r="G5" s="179"/>
      <c r="H5" s="179"/>
      <c r="I5" s="179"/>
      <c r="J5" s="179"/>
      <c r="K5" s="179"/>
      <c r="L5" s="179"/>
      <c r="M5" s="179"/>
      <c r="N5" s="179"/>
      <c r="O5" s="11"/>
    </row>
    <row r="6" spans="1:15" x14ac:dyDescent="0.2">
      <c r="A6" s="8"/>
      <c r="B6" s="179"/>
      <c r="C6" s="179"/>
      <c r="D6" s="179"/>
      <c r="E6" s="179"/>
      <c r="F6" s="179"/>
      <c r="G6" s="179"/>
      <c r="H6" s="179"/>
      <c r="I6" s="179"/>
      <c r="J6" s="179"/>
      <c r="K6" s="179"/>
      <c r="L6" s="179"/>
      <c r="M6" s="179"/>
      <c r="N6" s="179"/>
      <c r="O6" s="11"/>
    </row>
    <row r="7" spans="1:15" x14ac:dyDescent="0.2">
      <c r="A7" s="8"/>
      <c r="B7" s="179"/>
      <c r="C7" s="179"/>
      <c r="D7" s="179"/>
      <c r="E7" s="179"/>
      <c r="F7" s="179"/>
      <c r="G7" s="179"/>
      <c r="H7" s="179"/>
      <c r="I7" s="179"/>
      <c r="J7" s="179"/>
      <c r="K7" s="179"/>
      <c r="L7" s="179"/>
      <c r="M7" s="179"/>
      <c r="N7" s="179"/>
      <c r="O7" s="11"/>
    </row>
    <row r="8" spans="1:15" x14ac:dyDescent="0.2">
      <c r="A8" s="8"/>
      <c r="B8" s="179"/>
      <c r="C8" s="179"/>
      <c r="D8" s="179"/>
      <c r="E8" s="179"/>
      <c r="F8" s="179"/>
      <c r="G8" s="179"/>
      <c r="H8" s="179"/>
      <c r="I8" s="179"/>
      <c r="J8" s="179"/>
      <c r="K8" s="179"/>
      <c r="L8" s="179"/>
      <c r="M8" s="179"/>
      <c r="N8" s="179"/>
      <c r="O8" s="11"/>
    </row>
    <row r="9" spans="1:15" x14ac:dyDescent="0.2">
      <c r="A9" s="8"/>
      <c r="B9" s="179"/>
      <c r="C9" s="179"/>
      <c r="D9" s="179"/>
      <c r="E9" s="179"/>
      <c r="F9" s="179"/>
      <c r="G9" s="179"/>
      <c r="H9" s="179"/>
      <c r="I9" s="179"/>
      <c r="J9" s="179"/>
      <c r="K9" s="179"/>
      <c r="L9" s="179"/>
      <c r="M9" s="179"/>
      <c r="N9" s="179"/>
      <c r="O9" s="11"/>
    </row>
    <row r="10" spans="1:15" x14ac:dyDescent="0.2">
      <c r="A10" s="8"/>
      <c r="B10" s="9"/>
      <c r="C10" s="10"/>
      <c r="D10" s="10"/>
      <c r="E10" s="10"/>
      <c r="F10" s="10"/>
      <c r="G10" s="10"/>
      <c r="H10" s="10"/>
      <c r="I10" s="10"/>
      <c r="J10" s="10"/>
      <c r="K10" s="10"/>
      <c r="L10" s="10"/>
      <c r="M10" s="10"/>
      <c r="N10" s="10"/>
      <c r="O10" s="11"/>
    </row>
    <row r="11" spans="1:15" x14ac:dyDescent="0.2">
      <c r="A11" s="8"/>
      <c r="B11" s="9"/>
      <c r="C11" s="10"/>
      <c r="D11" s="12" t="s">
        <v>1</v>
      </c>
      <c r="E11" s="10"/>
      <c r="F11" s="13" t="s">
        <v>52</v>
      </c>
      <c r="G11" s="10"/>
      <c r="H11" s="19"/>
      <c r="I11" s="10"/>
      <c r="J11" s="20"/>
      <c r="K11" s="10"/>
      <c r="L11" s="10"/>
      <c r="M11" s="10"/>
      <c r="N11" s="10"/>
      <c r="O11" s="11"/>
    </row>
    <row r="12" spans="1:15" x14ac:dyDescent="0.2">
      <c r="A12" s="8"/>
      <c r="B12" s="9"/>
      <c r="C12" s="10"/>
      <c r="D12" s="10" t="s">
        <v>73</v>
      </c>
      <c r="E12" s="10"/>
      <c r="F12" s="14">
        <v>50000</v>
      </c>
      <c r="G12" s="10"/>
      <c r="H12" s="10"/>
      <c r="I12" s="10"/>
      <c r="J12" s="10"/>
      <c r="K12" s="10"/>
      <c r="L12" s="10"/>
      <c r="M12" s="10"/>
      <c r="N12" s="10"/>
      <c r="O12" s="11"/>
    </row>
    <row r="13" spans="1:15" x14ac:dyDescent="0.2">
      <c r="A13" s="8"/>
      <c r="B13" s="9"/>
      <c r="C13" s="10"/>
      <c r="D13" s="10" t="s">
        <v>74</v>
      </c>
      <c r="E13" s="10"/>
      <c r="F13" s="16">
        <v>0.1</v>
      </c>
      <c r="G13" s="10"/>
      <c r="H13" s="10"/>
      <c r="I13" s="10"/>
      <c r="J13" s="16"/>
      <c r="K13" s="10"/>
      <c r="L13" s="10"/>
      <c r="M13" s="10"/>
      <c r="N13" s="10"/>
      <c r="O13" s="11"/>
    </row>
    <row r="14" spans="1:15" x14ac:dyDescent="0.2">
      <c r="A14" s="8"/>
      <c r="B14" s="9"/>
      <c r="C14" s="10"/>
      <c r="D14" s="10" t="s">
        <v>75</v>
      </c>
      <c r="E14" s="10"/>
      <c r="F14" s="25">
        <v>170</v>
      </c>
      <c r="G14" s="10"/>
      <c r="H14" s="10"/>
      <c r="I14" s="10"/>
      <c r="J14" s="15"/>
      <c r="K14" s="10"/>
      <c r="L14" s="10"/>
      <c r="M14" s="10"/>
      <c r="N14" s="10"/>
      <c r="O14" s="11"/>
    </row>
    <row r="15" spans="1:15" x14ac:dyDescent="0.2">
      <c r="A15" s="8"/>
      <c r="B15" s="9"/>
      <c r="C15" s="10"/>
      <c r="D15" s="10" t="s">
        <v>7</v>
      </c>
      <c r="E15" s="10"/>
      <c r="F15" s="25">
        <v>120</v>
      </c>
      <c r="G15" s="10"/>
      <c r="H15" s="10"/>
      <c r="I15" s="10"/>
      <c r="J15" s="15"/>
      <c r="K15" s="10"/>
      <c r="L15" s="10"/>
      <c r="M15" s="10"/>
      <c r="N15" s="10"/>
      <c r="O15" s="11"/>
    </row>
    <row r="16" spans="1:15" x14ac:dyDescent="0.2">
      <c r="A16" s="8"/>
      <c r="B16" s="9"/>
      <c r="C16" s="10"/>
      <c r="D16" s="10"/>
      <c r="E16" s="10"/>
      <c r="F16" s="10"/>
      <c r="G16" s="10"/>
      <c r="H16" s="10"/>
      <c r="I16" s="10"/>
      <c r="J16" s="10"/>
      <c r="K16" s="10"/>
      <c r="L16" s="10"/>
      <c r="M16" s="10"/>
      <c r="N16" s="10"/>
      <c r="O16" s="11"/>
    </row>
    <row r="17" spans="1:15" x14ac:dyDescent="0.2">
      <c r="A17" s="8"/>
      <c r="B17" s="194" t="s">
        <v>78</v>
      </c>
      <c r="C17" s="195"/>
      <c r="D17" s="195"/>
      <c r="E17" s="195"/>
      <c r="F17" s="195"/>
      <c r="G17" s="195"/>
      <c r="H17" s="195"/>
      <c r="I17" s="195"/>
      <c r="J17" s="195"/>
      <c r="K17" s="195"/>
      <c r="L17" s="195"/>
      <c r="M17" s="195"/>
      <c r="N17" s="195"/>
      <c r="O17" s="11"/>
    </row>
    <row r="18" spans="1:15" x14ac:dyDescent="0.2">
      <c r="A18" s="8"/>
      <c r="B18" s="34" t="s">
        <v>68</v>
      </c>
      <c r="C18" s="10"/>
      <c r="D18" s="10"/>
      <c r="E18" s="10"/>
      <c r="F18" s="10"/>
      <c r="G18" s="10"/>
      <c r="H18" s="10"/>
      <c r="I18" s="10"/>
      <c r="J18" s="20" t="s">
        <v>72</v>
      </c>
      <c r="K18" s="10"/>
      <c r="L18" s="16">
        <v>0.12</v>
      </c>
      <c r="M18" s="10"/>
      <c r="N18" s="10"/>
      <c r="O18" s="11"/>
    </row>
    <row r="19" spans="1:15" x14ac:dyDescent="0.2">
      <c r="A19" s="8"/>
      <c r="B19" s="29" t="s">
        <v>69</v>
      </c>
      <c r="C19" s="10"/>
      <c r="D19" s="13" t="s">
        <v>70</v>
      </c>
      <c r="E19" s="10"/>
      <c r="F19" s="13" t="s">
        <v>71</v>
      </c>
      <c r="G19" s="10"/>
      <c r="H19" s="13" t="s">
        <v>27</v>
      </c>
      <c r="I19" s="10"/>
      <c r="J19" s="13" t="s">
        <v>28</v>
      </c>
      <c r="K19" s="10"/>
      <c r="L19" s="13" t="s">
        <v>77</v>
      </c>
      <c r="M19" s="10"/>
      <c r="N19" s="13" t="s">
        <v>29</v>
      </c>
      <c r="O19" s="11"/>
    </row>
    <row r="20" spans="1:15" x14ac:dyDescent="0.2">
      <c r="A20" s="8"/>
      <c r="B20" s="34">
        <v>1</v>
      </c>
      <c r="C20" s="10"/>
      <c r="D20" s="60">
        <f>F12</f>
        <v>50000</v>
      </c>
      <c r="E20" s="10"/>
      <c r="F20" s="62">
        <f t="shared" ref="F20:F25" si="0">$F$14*D20</f>
        <v>8500000</v>
      </c>
      <c r="G20" s="10"/>
      <c r="H20" s="62">
        <f t="shared" ref="H20:H25" si="1">$F$15*D20</f>
        <v>6000000</v>
      </c>
      <c r="I20" s="10"/>
      <c r="J20" s="62">
        <f t="shared" ref="J20:J25" si="2">F20-H20</f>
        <v>2500000</v>
      </c>
      <c r="K20" s="10"/>
      <c r="L20" s="61">
        <f t="shared" ref="L20:L25" si="3">1/(1+$L$18)^(B20)</f>
        <v>0.89285714285714279</v>
      </c>
      <c r="M20" s="10"/>
      <c r="N20" s="62">
        <f t="shared" ref="N20:N25" si="4">J20*L20</f>
        <v>2232142.8571428568</v>
      </c>
      <c r="O20" s="11"/>
    </row>
    <row r="21" spans="1:15" x14ac:dyDescent="0.2">
      <c r="A21" s="8"/>
      <c r="B21" s="34">
        <v>2</v>
      </c>
      <c r="C21" s="10"/>
      <c r="D21" s="21">
        <f>D20*(1+$F$13)</f>
        <v>55000.000000000007</v>
      </c>
      <c r="E21" s="10"/>
      <c r="F21" s="62">
        <f t="shared" si="0"/>
        <v>9350000.0000000019</v>
      </c>
      <c r="G21" s="10"/>
      <c r="H21" s="62">
        <f t="shared" si="1"/>
        <v>6600000.0000000009</v>
      </c>
      <c r="I21" s="10"/>
      <c r="J21" s="62">
        <f t="shared" si="2"/>
        <v>2750000.0000000009</v>
      </c>
      <c r="K21" s="10"/>
      <c r="L21" s="61">
        <f t="shared" si="3"/>
        <v>0.79719387755102034</v>
      </c>
      <c r="M21" s="10"/>
      <c r="N21" s="62">
        <f t="shared" si="4"/>
        <v>2192283.1632653065</v>
      </c>
      <c r="O21" s="11"/>
    </row>
    <row r="22" spans="1:15" x14ac:dyDescent="0.2">
      <c r="A22" s="8"/>
      <c r="B22" s="34">
        <v>3</v>
      </c>
      <c r="C22" s="10"/>
      <c r="D22" s="21">
        <f>D21*(1+$F$13)</f>
        <v>60500.000000000015</v>
      </c>
      <c r="E22" s="10"/>
      <c r="F22" s="62">
        <f t="shared" si="0"/>
        <v>10285000.000000002</v>
      </c>
      <c r="G22" s="10"/>
      <c r="H22" s="62">
        <f t="shared" si="1"/>
        <v>7260000.0000000019</v>
      </c>
      <c r="I22" s="10"/>
      <c r="J22" s="62">
        <f t="shared" si="2"/>
        <v>3025000</v>
      </c>
      <c r="K22" s="10"/>
      <c r="L22" s="61">
        <f t="shared" si="3"/>
        <v>0.71178024781341087</v>
      </c>
      <c r="M22" s="10"/>
      <c r="N22" s="62">
        <f t="shared" si="4"/>
        <v>2153135.2496355679</v>
      </c>
      <c r="O22" s="11"/>
    </row>
    <row r="23" spans="1:15" x14ac:dyDescent="0.2">
      <c r="A23" s="8"/>
      <c r="B23" s="34">
        <v>4</v>
      </c>
      <c r="C23" s="10"/>
      <c r="D23" s="21">
        <f>D22*(1+$F$13)</f>
        <v>66550.000000000015</v>
      </c>
      <c r="E23" s="10"/>
      <c r="F23" s="62">
        <f t="shared" si="0"/>
        <v>11313500.000000002</v>
      </c>
      <c r="G23" s="10"/>
      <c r="H23" s="62">
        <f t="shared" si="1"/>
        <v>7986000.0000000019</v>
      </c>
      <c r="I23" s="10"/>
      <c r="J23" s="62">
        <f t="shared" si="2"/>
        <v>3327500</v>
      </c>
      <c r="K23" s="10"/>
      <c r="L23" s="61">
        <f t="shared" si="3"/>
        <v>0.63551807840483121</v>
      </c>
      <c r="M23" s="10"/>
      <c r="N23" s="62">
        <f t="shared" si="4"/>
        <v>2114686.405892076</v>
      </c>
      <c r="O23" s="11"/>
    </row>
    <row r="24" spans="1:15" x14ac:dyDescent="0.2">
      <c r="A24" s="8"/>
      <c r="B24" s="34">
        <v>5</v>
      </c>
      <c r="C24" s="10"/>
      <c r="D24" s="21">
        <f>D23*(1+$F$13)</f>
        <v>73205.000000000029</v>
      </c>
      <c r="E24" s="10"/>
      <c r="F24" s="62">
        <f t="shared" si="0"/>
        <v>12444850.000000006</v>
      </c>
      <c r="G24" s="10"/>
      <c r="H24" s="62">
        <f t="shared" si="1"/>
        <v>8784600.0000000037</v>
      </c>
      <c r="I24" s="10"/>
      <c r="J24" s="62">
        <f t="shared" si="2"/>
        <v>3660250.0000000019</v>
      </c>
      <c r="K24" s="10"/>
      <c r="L24" s="61">
        <f t="shared" si="3"/>
        <v>0.56742685571859919</v>
      </c>
      <c r="M24" s="10"/>
      <c r="N24" s="62">
        <f t="shared" si="4"/>
        <v>2076924.1486440038</v>
      </c>
      <c r="O24" s="11"/>
    </row>
    <row r="25" spans="1:15" x14ac:dyDescent="0.2">
      <c r="A25" s="8"/>
      <c r="B25" s="34">
        <v>6</v>
      </c>
      <c r="C25" s="10"/>
      <c r="D25" s="21">
        <f>D24*(1+$F$13)</f>
        <v>80525.500000000044</v>
      </c>
      <c r="E25" s="10"/>
      <c r="F25" s="62">
        <f t="shared" si="0"/>
        <v>13689335.000000007</v>
      </c>
      <c r="G25" s="10"/>
      <c r="H25" s="62">
        <f t="shared" si="1"/>
        <v>9663060.0000000056</v>
      </c>
      <c r="I25" s="10"/>
      <c r="J25" s="62">
        <f t="shared" si="2"/>
        <v>4026275.0000000019</v>
      </c>
      <c r="K25" s="10"/>
      <c r="L25" s="61">
        <f t="shared" si="3"/>
        <v>0.50663112117732068</v>
      </c>
      <c r="M25" s="10"/>
      <c r="N25" s="62">
        <f t="shared" si="4"/>
        <v>2039836.2174182178</v>
      </c>
      <c r="O25" s="11"/>
    </row>
    <row r="26" spans="1:15" x14ac:dyDescent="0.2">
      <c r="A26" s="8"/>
      <c r="B26" s="10"/>
      <c r="C26" s="10"/>
      <c r="D26" s="10"/>
      <c r="E26" s="10"/>
      <c r="F26" s="10"/>
      <c r="G26" s="10"/>
      <c r="H26" s="10"/>
      <c r="I26" s="10"/>
      <c r="J26" s="10"/>
      <c r="K26" s="10"/>
      <c r="L26" s="10"/>
      <c r="M26" s="10"/>
      <c r="N26" s="10"/>
      <c r="O26" s="11"/>
    </row>
    <row r="27" spans="1:15" x14ac:dyDescent="0.2">
      <c r="A27" s="8"/>
      <c r="B27" s="10"/>
      <c r="C27" s="10"/>
      <c r="D27" s="10"/>
      <c r="E27" s="10"/>
      <c r="F27" s="10"/>
      <c r="G27" s="10"/>
      <c r="H27" s="10"/>
      <c r="I27" s="10"/>
      <c r="J27" s="19" t="s">
        <v>76</v>
      </c>
      <c r="K27" s="10"/>
      <c r="L27" s="10"/>
      <c r="M27" s="10"/>
      <c r="N27" s="74">
        <f>SUM(N20:N25)</f>
        <v>12809008.041998029</v>
      </c>
      <c r="O27" s="11"/>
    </row>
    <row r="28" spans="1:15" ht="13.5" thickBot="1" x14ac:dyDescent="0.25">
      <c r="A28" s="8"/>
      <c r="B28" s="23"/>
      <c r="C28" s="23"/>
      <c r="D28" s="23"/>
      <c r="E28" s="23"/>
      <c r="F28" s="23"/>
      <c r="G28" s="23"/>
      <c r="H28" s="23"/>
      <c r="I28" s="23"/>
      <c r="J28" s="23"/>
      <c r="K28" s="23"/>
      <c r="L28" s="23"/>
      <c r="M28" s="23"/>
      <c r="N28" s="23"/>
      <c r="O28" s="11"/>
    </row>
    <row r="29" spans="1:15" x14ac:dyDescent="0.2">
      <c r="A29" s="8"/>
      <c r="B29" s="10"/>
      <c r="C29" s="10"/>
      <c r="D29" s="10"/>
      <c r="E29" s="10"/>
      <c r="F29" s="10"/>
      <c r="G29" s="10"/>
      <c r="H29" s="10"/>
      <c r="I29" s="10"/>
      <c r="J29" s="10"/>
      <c r="K29" s="10"/>
      <c r="L29" s="10"/>
      <c r="M29" s="10"/>
      <c r="N29" s="10"/>
      <c r="O29" s="11"/>
    </row>
    <row r="30" spans="1:15" x14ac:dyDescent="0.2">
      <c r="A30" s="8"/>
      <c r="B30" s="9"/>
      <c r="C30" s="10"/>
      <c r="D30" s="12" t="s">
        <v>1</v>
      </c>
      <c r="E30" s="10"/>
      <c r="F30" s="13" t="s">
        <v>52</v>
      </c>
      <c r="G30" s="10"/>
      <c r="H30" s="19"/>
      <c r="I30" s="10"/>
      <c r="J30" s="20"/>
      <c r="K30" s="10"/>
      <c r="L30" s="10"/>
      <c r="M30" s="10"/>
      <c r="N30" s="10"/>
      <c r="O30" s="11"/>
    </row>
    <row r="31" spans="1:15" x14ac:dyDescent="0.2">
      <c r="A31" s="8"/>
      <c r="B31" s="9"/>
      <c r="C31" s="10"/>
      <c r="D31" s="10" t="s">
        <v>73</v>
      </c>
      <c r="E31" s="10"/>
      <c r="F31" s="14">
        <v>40000</v>
      </c>
      <c r="G31" s="10"/>
      <c r="H31" s="10"/>
      <c r="I31" s="10"/>
      <c r="J31" s="10"/>
      <c r="K31" s="10"/>
      <c r="L31" s="10"/>
      <c r="M31" s="10"/>
      <c r="N31" s="10"/>
      <c r="O31" s="11"/>
    </row>
    <row r="32" spans="1:15" x14ac:dyDescent="0.2">
      <c r="A32" s="8"/>
      <c r="B32" s="9"/>
      <c r="C32" s="10"/>
      <c r="D32" s="10" t="s">
        <v>74</v>
      </c>
      <c r="E32" s="10"/>
      <c r="F32" s="16">
        <v>0.04</v>
      </c>
      <c r="G32" s="10"/>
      <c r="H32" s="10"/>
      <c r="I32" s="10"/>
      <c r="J32" s="16"/>
      <c r="K32" s="10"/>
      <c r="L32" s="10"/>
      <c r="M32" s="10"/>
      <c r="N32" s="10"/>
      <c r="O32" s="11"/>
    </row>
    <row r="33" spans="1:15" x14ac:dyDescent="0.2">
      <c r="A33" s="8"/>
      <c r="B33" s="9"/>
      <c r="C33" s="10"/>
      <c r="D33" s="10" t="s">
        <v>75</v>
      </c>
      <c r="E33" s="10"/>
      <c r="F33" s="25">
        <v>200</v>
      </c>
      <c r="G33" s="10"/>
      <c r="H33" s="10"/>
      <c r="I33" s="10"/>
      <c r="J33" s="15"/>
      <c r="K33" s="10"/>
      <c r="L33" s="10"/>
      <c r="M33" s="10"/>
      <c r="N33" s="10"/>
      <c r="O33" s="11"/>
    </row>
    <row r="34" spans="1:15" x14ac:dyDescent="0.2">
      <c r="A34" s="8"/>
      <c r="B34" s="9"/>
      <c r="C34" s="10"/>
      <c r="D34" s="10" t="s">
        <v>7</v>
      </c>
      <c r="E34" s="10"/>
      <c r="F34" s="25">
        <v>120</v>
      </c>
      <c r="G34" s="10"/>
      <c r="H34" s="10"/>
      <c r="I34" s="10"/>
      <c r="J34" s="15"/>
      <c r="K34" s="10"/>
      <c r="L34" s="10"/>
      <c r="M34" s="10"/>
      <c r="N34" s="10"/>
      <c r="O34" s="11"/>
    </row>
    <row r="35" spans="1:15" x14ac:dyDescent="0.2">
      <c r="A35" s="8"/>
      <c r="B35" s="9"/>
      <c r="C35" s="10"/>
      <c r="D35" s="10"/>
      <c r="E35" s="10"/>
      <c r="F35" s="10"/>
      <c r="G35" s="10"/>
      <c r="H35" s="10"/>
      <c r="I35" s="10"/>
      <c r="J35" s="10"/>
      <c r="K35" s="10"/>
      <c r="L35" s="10"/>
      <c r="M35" s="10"/>
      <c r="N35" s="10"/>
      <c r="O35" s="11"/>
    </row>
    <row r="36" spans="1:15" x14ac:dyDescent="0.2">
      <c r="A36" s="8"/>
      <c r="B36" s="194" t="s">
        <v>79</v>
      </c>
      <c r="C36" s="195"/>
      <c r="D36" s="195"/>
      <c r="E36" s="195"/>
      <c r="F36" s="195"/>
      <c r="G36" s="195"/>
      <c r="H36" s="195"/>
      <c r="I36" s="195"/>
      <c r="J36" s="195"/>
      <c r="K36" s="195"/>
      <c r="L36" s="195"/>
      <c r="M36" s="195"/>
      <c r="N36" s="195"/>
      <c r="O36" s="11"/>
    </row>
    <row r="37" spans="1:15" x14ac:dyDescent="0.2">
      <c r="A37" s="8"/>
      <c r="B37" s="34" t="s">
        <v>68</v>
      </c>
      <c r="C37" s="10"/>
      <c r="D37" s="10"/>
      <c r="E37" s="10"/>
      <c r="F37" s="10"/>
      <c r="G37" s="10"/>
      <c r="H37" s="10"/>
      <c r="I37" s="10"/>
      <c r="J37" s="20" t="s">
        <v>72</v>
      </c>
      <c r="K37" s="10"/>
      <c r="L37" s="16">
        <v>0.12</v>
      </c>
      <c r="M37" s="10"/>
      <c r="N37" s="10"/>
      <c r="O37" s="11"/>
    </row>
    <row r="38" spans="1:15" x14ac:dyDescent="0.2">
      <c r="A38" s="8"/>
      <c r="B38" s="29" t="s">
        <v>69</v>
      </c>
      <c r="C38" s="10"/>
      <c r="D38" s="13" t="s">
        <v>70</v>
      </c>
      <c r="E38" s="10"/>
      <c r="F38" s="13" t="s">
        <v>71</v>
      </c>
      <c r="G38" s="10"/>
      <c r="H38" s="13" t="s">
        <v>27</v>
      </c>
      <c r="I38" s="10"/>
      <c r="J38" s="13" t="s">
        <v>28</v>
      </c>
      <c r="K38" s="10"/>
      <c r="L38" s="13" t="s">
        <v>77</v>
      </c>
      <c r="M38" s="10"/>
      <c r="N38" s="13" t="s">
        <v>29</v>
      </c>
      <c r="O38" s="11"/>
    </row>
    <row r="39" spans="1:15" x14ac:dyDescent="0.2">
      <c r="A39" s="8"/>
      <c r="B39" s="34">
        <v>1</v>
      </c>
      <c r="C39" s="10"/>
      <c r="D39" s="60">
        <f>F31</f>
        <v>40000</v>
      </c>
      <c r="E39" s="10"/>
      <c r="F39" s="62">
        <f t="shared" ref="F39:F44" si="5">$F$33*D39</f>
        <v>8000000</v>
      </c>
      <c r="G39" s="10"/>
      <c r="H39" s="62">
        <f t="shared" ref="H39:H44" si="6">$F$34*D39</f>
        <v>4800000</v>
      </c>
      <c r="I39" s="10"/>
      <c r="J39" s="62">
        <f t="shared" ref="J39:J44" si="7">F39-H39</f>
        <v>3200000</v>
      </c>
      <c r="K39" s="10"/>
      <c r="L39" s="61">
        <f t="shared" ref="L39:L44" si="8">1/(1+$L$18)^(B39)</f>
        <v>0.89285714285714279</v>
      </c>
      <c r="M39" s="10"/>
      <c r="N39" s="62">
        <f t="shared" ref="N39:N44" si="9">J39*L39</f>
        <v>2857142.8571428568</v>
      </c>
      <c r="O39" s="11"/>
    </row>
    <row r="40" spans="1:15" x14ac:dyDescent="0.2">
      <c r="A40" s="8"/>
      <c r="B40" s="34">
        <v>2</v>
      </c>
      <c r="C40" s="10"/>
      <c r="D40" s="21">
        <f>D39*(1+$F$32)</f>
        <v>41600</v>
      </c>
      <c r="E40" s="10"/>
      <c r="F40" s="62">
        <f t="shared" si="5"/>
        <v>8320000</v>
      </c>
      <c r="G40" s="10"/>
      <c r="H40" s="62">
        <f t="shared" si="6"/>
        <v>4992000</v>
      </c>
      <c r="I40" s="10"/>
      <c r="J40" s="62">
        <f t="shared" si="7"/>
        <v>3328000</v>
      </c>
      <c r="K40" s="10"/>
      <c r="L40" s="61">
        <f t="shared" si="8"/>
        <v>0.79719387755102034</v>
      </c>
      <c r="M40" s="10"/>
      <c r="N40" s="62">
        <f t="shared" si="9"/>
        <v>2653061.2244897955</v>
      </c>
      <c r="O40" s="11"/>
    </row>
    <row r="41" spans="1:15" x14ac:dyDescent="0.2">
      <c r="A41" s="8"/>
      <c r="B41" s="34">
        <v>3</v>
      </c>
      <c r="C41" s="10"/>
      <c r="D41" s="21">
        <f>D40*(1+$F$32)</f>
        <v>43264</v>
      </c>
      <c r="E41" s="10"/>
      <c r="F41" s="62">
        <f t="shared" si="5"/>
        <v>8652800</v>
      </c>
      <c r="G41" s="10"/>
      <c r="H41" s="62">
        <f t="shared" si="6"/>
        <v>5191680</v>
      </c>
      <c r="I41" s="10"/>
      <c r="J41" s="62">
        <f t="shared" si="7"/>
        <v>3461120</v>
      </c>
      <c r="K41" s="10"/>
      <c r="L41" s="61">
        <f t="shared" si="8"/>
        <v>0.71178024781341087</v>
      </c>
      <c r="M41" s="10"/>
      <c r="N41" s="62">
        <f t="shared" si="9"/>
        <v>2463556.8513119528</v>
      </c>
      <c r="O41" s="11"/>
    </row>
    <row r="42" spans="1:15" x14ac:dyDescent="0.2">
      <c r="A42" s="8"/>
      <c r="B42" s="34">
        <v>4</v>
      </c>
      <c r="C42" s="10"/>
      <c r="D42" s="21">
        <f>D41*(1+$F$32)</f>
        <v>44994.560000000005</v>
      </c>
      <c r="E42" s="10"/>
      <c r="F42" s="62">
        <f t="shared" si="5"/>
        <v>8998912.0000000019</v>
      </c>
      <c r="G42" s="10"/>
      <c r="H42" s="62">
        <f t="shared" si="6"/>
        <v>5399347.2000000002</v>
      </c>
      <c r="I42" s="10"/>
      <c r="J42" s="62">
        <f t="shared" si="7"/>
        <v>3599564.8000000017</v>
      </c>
      <c r="K42" s="10"/>
      <c r="L42" s="61">
        <f t="shared" si="8"/>
        <v>0.63551807840483121</v>
      </c>
      <c r="M42" s="10"/>
      <c r="N42" s="62">
        <f t="shared" si="9"/>
        <v>2287588.5047896719</v>
      </c>
      <c r="O42" s="11"/>
    </row>
    <row r="43" spans="1:15" x14ac:dyDescent="0.2">
      <c r="A43" s="8"/>
      <c r="B43" s="34">
        <v>5</v>
      </c>
      <c r="C43" s="10"/>
      <c r="D43" s="21">
        <f>D42*(1+$F$32)</f>
        <v>46794.342400000009</v>
      </c>
      <c r="E43" s="10"/>
      <c r="F43" s="62">
        <f t="shared" si="5"/>
        <v>9358868.4800000023</v>
      </c>
      <c r="G43" s="10"/>
      <c r="H43" s="62">
        <f t="shared" si="6"/>
        <v>5615321.0880000014</v>
      </c>
      <c r="I43" s="10"/>
      <c r="J43" s="62">
        <f t="shared" si="7"/>
        <v>3743547.3920000009</v>
      </c>
      <c r="K43" s="10"/>
      <c r="L43" s="61">
        <f t="shared" si="8"/>
        <v>0.56742685571859919</v>
      </c>
      <c r="M43" s="10"/>
      <c r="N43" s="62">
        <f t="shared" si="9"/>
        <v>2124189.3258761228</v>
      </c>
      <c r="O43" s="11"/>
    </row>
    <row r="44" spans="1:15" x14ac:dyDescent="0.2">
      <c r="A44" s="8"/>
      <c r="B44" s="34">
        <v>6</v>
      </c>
      <c r="C44" s="10"/>
      <c r="D44" s="21">
        <f>D43*(1+$F$32)</f>
        <v>48666.116096000012</v>
      </c>
      <c r="E44" s="10"/>
      <c r="F44" s="62">
        <f t="shared" si="5"/>
        <v>9733223.219200002</v>
      </c>
      <c r="G44" s="10"/>
      <c r="H44" s="62">
        <f t="shared" si="6"/>
        <v>5839933.931520002</v>
      </c>
      <c r="I44" s="10"/>
      <c r="J44" s="62">
        <f t="shared" si="7"/>
        <v>3893289.2876800001</v>
      </c>
      <c r="K44" s="10"/>
      <c r="L44" s="61">
        <f t="shared" si="8"/>
        <v>0.50663112117732068</v>
      </c>
      <c r="M44" s="10"/>
      <c r="N44" s="62">
        <f t="shared" si="9"/>
        <v>1972461.5168849707</v>
      </c>
      <c r="O44" s="11"/>
    </row>
    <row r="45" spans="1:15" x14ac:dyDescent="0.2">
      <c r="A45" s="8"/>
      <c r="B45" s="10"/>
      <c r="C45" s="10"/>
      <c r="D45" s="10"/>
      <c r="E45" s="10"/>
      <c r="F45" s="10"/>
      <c r="G45" s="10"/>
      <c r="H45" s="10"/>
      <c r="I45" s="10"/>
      <c r="J45" s="10"/>
      <c r="K45" s="10"/>
      <c r="L45" s="10"/>
      <c r="M45" s="10"/>
      <c r="N45" s="10"/>
      <c r="O45" s="11"/>
    </row>
    <row r="46" spans="1:15" x14ac:dyDescent="0.2">
      <c r="A46" s="8"/>
      <c r="B46" s="10"/>
      <c r="C46" s="10"/>
      <c r="D46" s="10"/>
      <c r="E46" s="10"/>
      <c r="F46" s="10"/>
      <c r="G46" s="10"/>
      <c r="H46" s="10"/>
      <c r="I46" s="10"/>
      <c r="J46" s="19" t="s">
        <v>76</v>
      </c>
      <c r="K46" s="10"/>
      <c r="L46" s="10"/>
      <c r="M46" s="10"/>
      <c r="N46" s="74">
        <f>SUM(N39:N44)</f>
        <v>14358000.28049537</v>
      </c>
      <c r="O46" s="11"/>
    </row>
    <row r="47" spans="1:15" x14ac:dyDescent="0.2">
      <c r="A47" s="8"/>
      <c r="B47" s="10"/>
      <c r="C47" s="10"/>
      <c r="D47" s="10"/>
      <c r="E47" s="10"/>
      <c r="F47" s="10"/>
      <c r="G47" s="10"/>
      <c r="H47" s="10"/>
      <c r="I47" s="10"/>
      <c r="J47" s="10"/>
      <c r="K47" s="10"/>
      <c r="L47" s="10"/>
      <c r="M47" s="10"/>
      <c r="N47" s="10"/>
      <c r="O47" s="11"/>
    </row>
    <row r="48" spans="1:15" x14ac:dyDescent="0.2">
      <c r="A48" s="8"/>
      <c r="B48" s="10" t="s">
        <v>86</v>
      </c>
      <c r="C48" s="10"/>
      <c r="D48" s="10"/>
      <c r="E48" s="10"/>
      <c r="F48" s="10"/>
      <c r="G48" s="10"/>
      <c r="H48" s="10"/>
      <c r="I48" s="10"/>
      <c r="J48" s="10"/>
      <c r="K48" s="10"/>
      <c r="L48" s="10"/>
      <c r="M48" s="10"/>
      <c r="N48" s="10"/>
      <c r="O48" s="11"/>
    </row>
    <row r="49" spans="1:15" ht="13.5" thickBot="1" x14ac:dyDescent="0.25">
      <c r="A49" s="22"/>
      <c r="B49" s="23"/>
      <c r="C49" s="23"/>
      <c r="D49" s="23"/>
      <c r="E49" s="23"/>
      <c r="F49" s="23"/>
      <c r="G49" s="23"/>
      <c r="H49" s="23"/>
      <c r="I49" s="23"/>
      <c r="J49" s="23"/>
      <c r="K49" s="23"/>
      <c r="L49" s="23"/>
      <c r="M49" s="23"/>
      <c r="N49" s="23"/>
      <c r="O49" s="24"/>
    </row>
  </sheetData>
  <mergeCells count="4">
    <mergeCell ref="B2:N2"/>
    <mergeCell ref="B17:N17"/>
    <mergeCell ref="B36:N36"/>
    <mergeCell ref="B4:N9"/>
  </mergeCells>
  <phoneticPr fontId="0" type="noConversion"/>
  <printOptions horizontalCentered="1"/>
  <pageMargins left="0.75" right="0.75" top="0.75" bottom="0.75" header="0.5" footer="0.5"/>
  <pageSetup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sheetViews>
  <sheetFormatPr defaultRowHeight="12.75" x14ac:dyDescent="0.2"/>
  <cols>
    <col min="1" max="1" width="3.1640625" style="118" customWidth="1"/>
    <col min="2" max="2" width="33.5" style="118" customWidth="1"/>
    <col min="3" max="3" width="3.1640625" style="118" customWidth="1"/>
    <col min="4" max="4" width="17.1640625" style="118" customWidth="1"/>
    <col min="5" max="15" width="12.5" style="118" customWidth="1"/>
    <col min="16" max="16" width="3.1640625" style="118" customWidth="1"/>
    <col min="17" max="16384" width="9.33203125" style="118"/>
  </cols>
  <sheetData>
    <row r="1" spans="1:16" x14ac:dyDescent="0.2">
      <c r="A1" s="114"/>
      <c r="B1" s="115"/>
      <c r="C1" s="115"/>
      <c r="D1" s="115"/>
      <c r="E1" s="115"/>
      <c r="F1" s="115"/>
      <c r="G1" s="115"/>
      <c r="H1" s="115"/>
      <c r="I1" s="115"/>
      <c r="J1" s="115"/>
      <c r="K1" s="115"/>
      <c r="L1" s="115"/>
      <c r="M1" s="115"/>
      <c r="N1" s="115"/>
      <c r="O1" s="115"/>
      <c r="P1" s="117"/>
    </row>
    <row r="2" spans="1:16" ht="18.75" x14ac:dyDescent="0.3">
      <c r="A2" s="144"/>
      <c r="B2" s="183" t="s">
        <v>279</v>
      </c>
      <c r="C2" s="183"/>
      <c r="D2" s="183"/>
      <c r="E2" s="184"/>
      <c r="F2" s="184"/>
      <c r="G2" s="197"/>
      <c r="H2" s="197"/>
      <c r="I2" s="197"/>
      <c r="J2" s="197"/>
      <c r="K2" s="197"/>
      <c r="L2" s="197"/>
      <c r="M2" s="197"/>
      <c r="N2" s="197"/>
      <c r="O2" s="197"/>
      <c r="P2" s="145"/>
    </row>
    <row r="3" spans="1:16" x14ac:dyDescent="0.2">
      <c r="A3" s="119"/>
      <c r="B3" s="120"/>
      <c r="C3" s="120"/>
      <c r="D3" s="120"/>
      <c r="E3" s="120"/>
      <c r="F3" s="120"/>
      <c r="G3" s="120"/>
      <c r="H3" s="120"/>
      <c r="I3" s="120"/>
      <c r="J3" s="120"/>
      <c r="K3" s="120"/>
      <c r="L3" s="120"/>
      <c r="M3" s="120"/>
      <c r="N3" s="120"/>
      <c r="O3" s="120"/>
      <c r="P3" s="122"/>
    </row>
    <row r="4" spans="1:16" x14ac:dyDescent="0.2">
      <c r="A4" s="119"/>
      <c r="B4" s="198" t="s">
        <v>233</v>
      </c>
      <c r="C4" s="199"/>
      <c r="D4" s="199"/>
      <c r="E4" s="199"/>
      <c r="F4" s="199"/>
      <c r="G4" s="199"/>
      <c r="H4" s="199"/>
      <c r="I4" s="199"/>
      <c r="J4" s="199"/>
      <c r="K4" s="199"/>
      <c r="L4" s="199"/>
      <c r="M4" s="199"/>
      <c r="N4" s="199"/>
      <c r="O4" s="199"/>
      <c r="P4" s="122"/>
    </row>
    <row r="5" spans="1:16" x14ac:dyDescent="0.2">
      <c r="A5" s="119"/>
      <c r="B5" s="199"/>
      <c r="C5" s="199"/>
      <c r="D5" s="199"/>
      <c r="E5" s="199"/>
      <c r="F5" s="199"/>
      <c r="G5" s="199"/>
      <c r="H5" s="199"/>
      <c r="I5" s="199"/>
      <c r="J5" s="199"/>
      <c r="K5" s="199"/>
      <c r="L5" s="199"/>
      <c r="M5" s="199"/>
      <c r="N5" s="199"/>
      <c r="O5" s="199"/>
      <c r="P5" s="122"/>
    </row>
    <row r="6" spans="1:16" x14ac:dyDescent="0.2">
      <c r="A6" s="119"/>
      <c r="B6" s="120"/>
      <c r="C6" s="120"/>
      <c r="D6" s="120"/>
      <c r="E6" s="120"/>
      <c r="F6" s="120"/>
      <c r="G6" s="120"/>
      <c r="H6" s="120"/>
      <c r="I6" s="120"/>
      <c r="J6" s="120"/>
      <c r="K6" s="120"/>
      <c r="L6" s="120"/>
      <c r="M6" s="120"/>
      <c r="N6" s="120"/>
      <c r="O6" s="120"/>
      <c r="P6" s="122"/>
    </row>
    <row r="7" spans="1:16" x14ac:dyDescent="0.2">
      <c r="A7" s="119"/>
      <c r="B7" s="198" t="s">
        <v>234</v>
      </c>
      <c r="C7" s="199"/>
      <c r="D7" s="199"/>
      <c r="E7" s="199"/>
      <c r="F7" s="199"/>
      <c r="G7" s="199"/>
      <c r="H7" s="199"/>
      <c r="I7" s="199"/>
      <c r="J7" s="199"/>
      <c r="K7" s="199"/>
      <c r="L7" s="199"/>
      <c r="M7" s="199"/>
      <c r="N7" s="199"/>
      <c r="O7" s="199"/>
      <c r="P7" s="122"/>
    </row>
    <row r="8" spans="1:16" x14ac:dyDescent="0.2">
      <c r="A8" s="119"/>
      <c r="B8" s="199"/>
      <c r="C8" s="199"/>
      <c r="D8" s="199"/>
      <c r="E8" s="199"/>
      <c r="F8" s="199"/>
      <c r="G8" s="199"/>
      <c r="H8" s="199"/>
      <c r="I8" s="199"/>
      <c r="J8" s="199"/>
      <c r="K8" s="199"/>
      <c r="L8" s="199"/>
      <c r="M8" s="199"/>
      <c r="N8" s="199"/>
      <c r="O8" s="199"/>
      <c r="P8" s="122"/>
    </row>
    <row r="9" spans="1:16" x14ac:dyDescent="0.2">
      <c r="A9" s="119"/>
      <c r="B9" s="199"/>
      <c r="C9" s="199"/>
      <c r="D9" s="199"/>
      <c r="E9" s="199"/>
      <c r="F9" s="199"/>
      <c r="G9" s="199"/>
      <c r="H9" s="199"/>
      <c r="I9" s="199"/>
      <c r="J9" s="199"/>
      <c r="K9" s="199"/>
      <c r="L9" s="199"/>
      <c r="M9" s="199"/>
      <c r="N9" s="199"/>
      <c r="O9" s="199"/>
      <c r="P9" s="122"/>
    </row>
    <row r="10" spans="1:16" x14ac:dyDescent="0.2">
      <c r="A10" s="119"/>
      <c r="B10" s="199"/>
      <c r="C10" s="199"/>
      <c r="D10" s="199"/>
      <c r="E10" s="199"/>
      <c r="F10" s="199"/>
      <c r="G10" s="199"/>
      <c r="H10" s="199"/>
      <c r="I10" s="199"/>
      <c r="J10" s="199"/>
      <c r="K10" s="199"/>
      <c r="L10" s="199"/>
      <c r="M10" s="199"/>
      <c r="N10" s="199"/>
      <c r="O10" s="199"/>
      <c r="P10" s="122"/>
    </row>
    <row r="11" spans="1:16" x14ac:dyDescent="0.2">
      <c r="A11" s="119"/>
      <c r="B11" s="120"/>
      <c r="C11" s="120"/>
      <c r="D11" s="120"/>
      <c r="E11" s="120"/>
      <c r="F11" s="120"/>
      <c r="G11" s="120"/>
      <c r="H11" s="120"/>
      <c r="I11" s="120"/>
      <c r="J11" s="120"/>
      <c r="K11" s="120"/>
      <c r="L11" s="120"/>
      <c r="M11" s="120"/>
      <c r="N11" s="120"/>
      <c r="O11" s="120"/>
      <c r="P11" s="122"/>
    </row>
    <row r="12" spans="1:16" x14ac:dyDescent="0.2">
      <c r="A12" s="119"/>
      <c r="B12" s="146" t="s">
        <v>235</v>
      </c>
      <c r="C12" s="120"/>
      <c r="D12" s="147">
        <v>20000</v>
      </c>
      <c r="E12" s="148"/>
      <c r="F12" s="149"/>
      <c r="G12" s="124"/>
      <c r="H12" s="150"/>
      <c r="I12" s="120"/>
      <c r="J12" s="120"/>
      <c r="K12" s="120"/>
      <c r="L12" s="120"/>
      <c r="M12" s="120"/>
      <c r="N12" s="120"/>
      <c r="O12" s="120"/>
      <c r="P12" s="122"/>
    </row>
    <row r="13" spans="1:16" x14ac:dyDescent="0.2">
      <c r="A13" s="119"/>
      <c r="B13" s="146" t="s">
        <v>236</v>
      </c>
      <c r="C13" s="120"/>
      <c r="D13" s="148">
        <v>1052</v>
      </c>
      <c r="E13" s="148"/>
      <c r="F13" s="149"/>
      <c r="G13" s="124"/>
      <c r="H13" s="150"/>
      <c r="I13" s="120"/>
      <c r="J13" s="120"/>
      <c r="K13" s="120"/>
      <c r="L13" s="120"/>
      <c r="M13" s="120"/>
      <c r="N13" s="120"/>
      <c r="O13" s="120"/>
      <c r="P13" s="122"/>
    </row>
    <row r="14" spans="1:16" x14ac:dyDescent="0.2">
      <c r="A14" s="119"/>
      <c r="B14" s="146" t="s">
        <v>237</v>
      </c>
      <c r="C14" s="120"/>
      <c r="D14" s="149">
        <v>114.07</v>
      </c>
      <c r="E14" s="148"/>
      <c r="F14" s="149"/>
      <c r="G14" s="124"/>
      <c r="H14" s="150"/>
      <c r="I14" s="120"/>
      <c r="J14" s="120"/>
      <c r="K14" s="120"/>
      <c r="L14" s="120"/>
      <c r="M14" s="120"/>
      <c r="N14" s="120"/>
      <c r="O14" s="120"/>
      <c r="P14" s="122"/>
    </row>
    <row r="15" spans="1:16" x14ac:dyDescent="0.2">
      <c r="A15" s="119"/>
      <c r="B15" s="146" t="s">
        <v>238</v>
      </c>
      <c r="C15" s="120"/>
      <c r="D15" s="151">
        <f>D12*D13*D14</f>
        <v>2400032800</v>
      </c>
      <c r="E15" s="148"/>
      <c r="F15" s="149"/>
      <c r="G15" s="124"/>
      <c r="H15" s="150"/>
      <c r="I15" s="120"/>
      <c r="J15" s="120"/>
      <c r="K15" s="120"/>
      <c r="L15" s="120"/>
      <c r="M15" s="120"/>
      <c r="N15" s="120"/>
      <c r="O15" s="120"/>
      <c r="P15" s="122"/>
    </row>
    <row r="16" spans="1:16" x14ac:dyDescent="0.2">
      <c r="A16" s="119"/>
      <c r="B16" s="120"/>
      <c r="C16" s="120"/>
      <c r="D16" s="120"/>
      <c r="E16" s="152"/>
      <c r="F16" s="120"/>
      <c r="G16" s="120"/>
      <c r="H16" s="120"/>
      <c r="I16" s="120"/>
      <c r="J16" s="120"/>
      <c r="K16" s="120"/>
      <c r="L16" s="120"/>
      <c r="M16" s="120"/>
      <c r="N16" s="120"/>
      <c r="O16" s="120"/>
      <c r="P16" s="122"/>
    </row>
    <row r="17" spans="1:16" x14ac:dyDescent="0.2">
      <c r="A17" s="119"/>
      <c r="B17" s="124" t="s">
        <v>239</v>
      </c>
      <c r="C17" s="120"/>
      <c r="D17" s="120"/>
      <c r="E17" s="120"/>
      <c r="F17" s="120"/>
      <c r="G17" s="120"/>
      <c r="H17" s="120"/>
      <c r="I17" s="120"/>
      <c r="J17" s="120"/>
      <c r="K17" s="120"/>
      <c r="L17" s="120"/>
      <c r="M17" s="120"/>
      <c r="N17" s="120"/>
      <c r="O17" s="120"/>
      <c r="P17" s="122"/>
    </row>
    <row r="18" spans="1:16" x14ac:dyDescent="0.2">
      <c r="A18" s="119"/>
      <c r="B18" s="120"/>
      <c r="C18" s="120"/>
      <c r="D18" s="120"/>
      <c r="E18" s="120"/>
      <c r="F18" s="120"/>
      <c r="G18" s="120"/>
      <c r="H18" s="120"/>
      <c r="I18" s="120"/>
      <c r="J18" s="120"/>
      <c r="K18" s="120"/>
      <c r="L18" s="120"/>
      <c r="M18" s="120"/>
      <c r="N18" s="120"/>
      <c r="O18" s="120"/>
      <c r="P18" s="122"/>
    </row>
    <row r="19" spans="1:16" x14ac:dyDescent="0.2">
      <c r="A19" s="119"/>
      <c r="B19" s="120" t="s">
        <v>240</v>
      </c>
      <c r="C19" s="120"/>
      <c r="D19" s="150">
        <f>D15</f>
        <v>2400032800</v>
      </c>
      <c r="E19" s="120"/>
      <c r="F19" s="120"/>
      <c r="G19" s="120"/>
      <c r="H19" s="120"/>
      <c r="I19" s="120"/>
      <c r="J19" s="120"/>
      <c r="K19" s="120"/>
      <c r="L19" s="120"/>
      <c r="M19" s="120"/>
      <c r="N19" s="120"/>
      <c r="O19" s="120"/>
      <c r="P19" s="122"/>
    </row>
    <row r="20" spans="1:16" x14ac:dyDescent="0.2">
      <c r="A20" s="119"/>
      <c r="B20" s="120" t="s">
        <v>241</v>
      </c>
      <c r="C20" s="120"/>
      <c r="D20" s="147">
        <v>20000</v>
      </c>
      <c r="E20" s="120"/>
      <c r="F20" s="120"/>
      <c r="G20" s="120"/>
      <c r="H20" s="120"/>
      <c r="I20" s="120"/>
      <c r="J20" s="120"/>
      <c r="K20" s="120"/>
      <c r="L20" s="120"/>
      <c r="M20" s="120"/>
      <c r="N20" s="120"/>
      <c r="O20" s="120"/>
      <c r="P20" s="122"/>
    </row>
    <row r="21" spans="1:16" x14ac:dyDescent="0.2">
      <c r="A21" s="119"/>
      <c r="B21" s="120" t="s">
        <v>242</v>
      </c>
      <c r="C21" s="120"/>
      <c r="D21" s="150">
        <f>D19/D20</f>
        <v>120001.64</v>
      </c>
      <c r="E21" s="120"/>
      <c r="F21" s="120"/>
      <c r="G21" s="120"/>
      <c r="H21" s="120"/>
      <c r="I21" s="120"/>
      <c r="J21" s="120"/>
      <c r="K21" s="120"/>
      <c r="L21" s="120"/>
      <c r="M21" s="120"/>
      <c r="N21" s="120"/>
      <c r="O21" s="120"/>
      <c r="P21" s="122"/>
    </row>
    <row r="22" spans="1:16" x14ac:dyDescent="0.2">
      <c r="A22" s="119"/>
      <c r="B22" s="120" t="s">
        <v>243</v>
      </c>
      <c r="C22" s="120"/>
      <c r="D22" s="149">
        <v>117.66</v>
      </c>
      <c r="E22" s="120"/>
      <c r="F22" s="120"/>
      <c r="G22" s="120"/>
      <c r="H22" s="120"/>
      <c r="I22" s="120"/>
      <c r="J22" s="120"/>
      <c r="K22" s="120"/>
      <c r="L22" s="120"/>
      <c r="M22" s="120"/>
      <c r="N22" s="120"/>
      <c r="O22" s="120"/>
      <c r="P22" s="122"/>
    </row>
    <row r="23" spans="1:16" x14ac:dyDescent="0.2">
      <c r="A23" s="119"/>
      <c r="B23" s="120" t="s">
        <v>244</v>
      </c>
      <c r="C23" s="120"/>
      <c r="D23" s="148">
        <f>D21/D22</f>
        <v>1019.9017508074112</v>
      </c>
      <c r="E23" s="120"/>
      <c r="F23" s="120" t="s">
        <v>245</v>
      </c>
      <c r="G23" s="120"/>
      <c r="H23" s="120"/>
      <c r="I23" s="120"/>
      <c r="J23" s="120"/>
      <c r="K23" s="120"/>
      <c r="L23" s="120"/>
      <c r="M23" s="120"/>
      <c r="N23" s="120"/>
      <c r="O23" s="120"/>
      <c r="P23" s="122"/>
    </row>
    <row r="24" spans="1:16" x14ac:dyDescent="0.2">
      <c r="A24" s="119"/>
      <c r="B24" s="120"/>
      <c r="C24" s="120"/>
      <c r="D24" s="120"/>
      <c r="E24" s="120"/>
      <c r="F24" s="120"/>
      <c r="G24" s="120"/>
      <c r="H24" s="120"/>
      <c r="I24" s="120"/>
      <c r="J24" s="120"/>
      <c r="K24" s="120"/>
      <c r="L24" s="120"/>
      <c r="M24" s="120"/>
      <c r="N24" s="120"/>
      <c r="O24" s="120"/>
      <c r="P24" s="122"/>
    </row>
    <row r="25" spans="1:16" x14ac:dyDescent="0.2">
      <c r="A25" s="119"/>
      <c r="B25" s="124" t="s">
        <v>246</v>
      </c>
      <c r="C25" s="120"/>
      <c r="D25" s="120"/>
      <c r="E25" s="120"/>
      <c r="F25" s="120"/>
      <c r="G25" s="120"/>
      <c r="H25" s="120"/>
      <c r="I25" s="120"/>
      <c r="J25" s="120"/>
      <c r="K25" s="120"/>
      <c r="L25" s="120"/>
      <c r="M25" s="120"/>
      <c r="N25" s="120"/>
      <c r="O25" s="120"/>
      <c r="P25" s="122"/>
    </row>
    <row r="26" spans="1:16" x14ac:dyDescent="0.2">
      <c r="A26" s="119"/>
      <c r="B26" s="120"/>
      <c r="C26" s="120"/>
      <c r="D26" s="120"/>
      <c r="E26" s="120"/>
      <c r="F26" s="120"/>
      <c r="G26" s="120"/>
      <c r="H26" s="120"/>
      <c r="I26" s="120"/>
      <c r="J26" s="120"/>
      <c r="K26" s="120"/>
      <c r="L26" s="120"/>
      <c r="M26" s="120"/>
      <c r="N26" s="120"/>
      <c r="O26" s="120"/>
      <c r="P26" s="122"/>
    </row>
    <row r="27" spans="1:16" x14ac:dyDescent="0.2">
      <c r="A27" s="119"/>
      <c r="B27" s="120" t="s">
        <v>240</v>
      </c>
      <c r="C27" s="120"/>
      <c r="D27" s="150">
        <f>D15</f>
        <v>2400032800</v>
      </c>
      <c r="E27" s="120"/>
      <c r="F27" s="120"/>
      <c r="G27" s="120"/>
      <c r="H27" s="120"/>
      <c r="I27" s="120"/>
      <c r="J27" s="120"/>
      <c r="K27" s="120"/>
      <c r="L27" s="120"/>
      <c r="M27" s="120"/>
      <c r="N27" s="120"/>
      <c r="O27" s="120"/>
      <c r="P27" s="122"/>
    </row>
    <row r="28" spans="1:16" x14ac:dyDescent="0.2">
      <c r="A28" s="119"/>
      <c r="B28" s="120" t="s">
        <v>247</v>
      </c>
      <c r="C28" s="120"/>
      <c r="D28" s="150">
        <f>D27/4</f>
        <v>600008200</v>
      </c>
      <c r="E28" s="120"/>
      <c r="F28" s="120" t="s">
        <v>248</v>
      </c>
      <c r="G28" s="120"/>
      <c r="H28" s="120"/>
      <c r="I28" s="120"/>
      <c r="J28" s="120"/>
      <c r="K28" s="120"/>
      <c r="L28" s="120"/>
      <c r="M28" s="120"/>
      <c r="N28" s="120"/>
      <c r="O28" s="120"/>
      <c r="P28" s="122"/>
    </row>
    <row r="29" spans="1:16" x14ac:dyDescent="0.2">
      <c r="A29" s="119"/>
      <c r="B29" s="120"/>
      <c r="C29" s="120"/>
      <c r="D29" s="120"/>
      <c r="E29" s="120"/>
      <c r="F29" s="120"/>
      <c r="G29" s="120"/>
      <c r="H29" s="120"/>
      <c r="I29" s="120"/>
      <c r="J29" s="120"/>
      <c r="K29" s="120"/>
      <c r="L29" s="120"/>
      <c r="M29" s="120"/>
      <c r="N29" s="120"/>
      <c r="O29" s="120"/>
      <c r="P29" s="122"/>
    </row>
    <row r="30" spans="1:16" x14ac:dyDescent="0.2">
      <c r="A30" s="119"/>
      <c r="B30" s="120" t="s">
        <v>249</v>
      </c>
      <c r="C30" s="120"/>
      <c r="D30" s="120">
        <v>1</v>
      </c>
      <c r="E30" s="120">
        <v>2</v>
      </c>
      <c r="F30" s="120">
        <v>3</v>
      </c>
      <c r="G30" s="120">
        <v>4</v>
      </c>
      <c r="H30" s="120">
        <v>5</v>
      </c>
      <c r="I30" s="120">
        <v>6</v>
      </c>
      <c r="J30" s="120">
        <v>7</v>
      </c>
      <c r="K30" s="120">
        <v>8</v>
      </c>
      <c r="L30" s="120">
        <v>9</v>
      </c>
      <c r="M30" s="120">
        <v>10</v>
      </c>
      <c r="N30" s="120">
        <v>11</v>
      </c>
      <c r="O30" s="120">
        <v>12</v>
      </c>
      <c r="P30" s="122"/>
    </row>
    <row r="31" spans="1:16" x14ac:dyDescent="0.2">
      <c r="A31" s="119"/>
      <c r="B31" s="153" t="s">
        <v>250</v>
      </c>
      <c r="C31" s="120"/>
      <c r="D31" s="154" t="s">
        <v>251</v>
      </c>
      <c r="E31" s="154" t="s">
        <v>252</v>
      </c>
      <c r="F31" s="154" t="s">
        <v>253</v>
      </c>
      <c r="G31" s="154" t="s">
        <v>254</v>
      </c>
      <c r="H31" s="154" t="s">
        <v>255</v>
      </c>
      <c r="I31" s="154" t="s">
        <v>256</v>
      </c>
      <c r="J31" s="154" t="s">
        <v>257</v>
      </c>
      <c r="K31" s="154" t="s">
        <v>258</v>
      </c>
      <c r="L31" s="154" t="s">
        <v>259</v>
      </c>
      <c r="M31" s="154" t="s">
        <v>260</v>
      </c>
      <c r="N31" s="154" t="s">
        <v>261</v>
      </c>
      <c r="O31" s="154" t="s">
        <v>262</v>
      </c>
      <c r="P31" s="122"/>
    </row>
    <row r="32" spans="1:16" x14ac:dyDescent="0.2">
      <c r="A32" s="119"/>
      <c r="B32" s="120" t="s">
        <v>263</v>
      </c>
      <c r="C32" s="120"/>
      <c r="D32" s="155">
        <f>$D$28/1000000</f>
        <v>600.00819999999999</v>
      </c>
      <c r="E32" s="155">
        <f t="shared" ref="E32:O32" si="0">$D$28/1000000</f>
        <v>600.00819999999999</v>
      </c>
      <c r="F32" s="155">
        <f t="shared" si="0"/>
        <v>600.00819999999999</v>
      </c>
      <c r="G32" s="155">
        <f t="shared" si="0"/>
        <v>600.00819999999999</v>
      </c>
      <c r="H32" s="155">
        <f t="shared" si="0"/>
        <v>600.00819999999999</v>
      </c>
      <c r="I32" s="155">
        <f t="shared" si="0"/>
        <v>600.00819999999999</v>
      </c>
      <c r="J32" s="155">
        <f t="shared" si="0"/>
        <v>600.00819999999999</v>
      </c>
      <c r="K32" s="155">
        <f t="shared" si="0"/>
        <v>600.00819999999999</v>
      </c>
      <c r="L32" s="155">
        <f t="shared" si="0"/>
        <v>600.00819999999999</v>
      </c>
      <c r="M32" s="155">
        <f t="shared" si="0"/>
        <v>600.00819999999999</v>
      </c>
      <c r="N32" s="155">
        <f t="shared" si="0"/>
        <v>600.00819999999999</v>
      </c>
      <c r="O32" s="155">
        <f t="shared" si="0"/>
        <v>600.00819999999999</v>
      </c>
      <c r="P32" s="122"/>
    </row>
    <row r="33" spans="1:17" x14ac:dyDescent="0.2">
      <c r="A33" s="119"/>
      <c r="B33" s="120"/>
      <c r="C33" s="120"/>
      <c r="D33" s="155"/>
      <c r="E33" s="155"/>
      <c r="F33" s="155"/>
      <c r="G33" s="155"/>
      <c r="H33" s="155"/>
      <c r="I33" s="155"/>
      <c r="J33" s="155"/>
      <c r="K33" s="155"/>
      <c r="L33" s="155"/>
      <c r="M33" s="155"/>
      <c r="N33" s="155"/>
      <c r="O33" s="155"/>
      <c r="P33" s="122"/>
    </row>
    <row r="34" spans="1:17" x14ac:dyDescent="0.2">
      <c r="A34" s="119"/>
      <c r="B34" s="124" t="s">
        <v>264</v>
      </c>
      <c r="C34" s="120"/>
      <c r="D34" s="155"/>
      <c r="E34" s="155"/>
      <c r="F34" s="155"/>
      <c r="G34" s="155"/>
      <c r="H34" s="155"/>
      <c r="I34" s="155"/>
      <c r="J34" s="155"/>
      <c r="K34" s="155"/>
      <c r="L34" s="155"/>
      <c r="M34" s="155"/>
      <c r="N34" s="155"/>
      <c r="O34" s="155"/>
      <c r="P34" s="122"/>
    </row>
    <row r="35" spans="1:17" x14ac:dyDescent="0.2">
      <c r="A35" s="119"/>
      <c r="B35" s="120"/>
      <c r="C35" s="120"/>
      <c r="D35" s="155"/>
      <c r="E35" s="155"/>
      <c r="F35" s="155"/>
      <c r="G35" s="155"/>
      <c r="H35" s="155"/>
      <c r="I35" s="155"/>
      <c r="J35" s="155"/>
      <c r="K35" s="155"/>
      <c r="L35" s="155"/>
      <c r="M35" s="155"/>
      <c r="N35" s="155"/>
      <c r="O35" s="155"/>
      <c r="P35" s="122"/>
    </row>
    <row r="36" spans="1:17" x14ac:dyDescent="0.2">
      <c r="A36" s="119"/>
      <c r="B36" s="120" t="s">
        <v>265</v>
      </c>
      <c r="C36" s="120"/>
      <c r="D36" s="149">
        <v>3</v>
      </c>
      <c r="E36" s="155"/>
      <c r="F36" s="155"/>
      <c r="G36" s="155"/>
      <c r="H36" s="155"/>
      <c r="I36" s="155"/>
      <c r="J36" s="155"/>
      <c r="K36" s="155"/>
      <c r="L36" s="155"/>
      <c r="M36" s="155"/>
      <c r="N36" s="155"/>
      <c r="O36" s="155"/>
      <c r="P36" s="122"/>
    </row>
    <row r="37" spans="1:17" x14ac:dyDescent="0.2">
      <c r="A37" s="119"/>
      <c r="B37" s="120" t="s">
        <v>266</v>
      </c>
      <c r="C37" s="120"/>
      <c r="D37" s="149">
        <f>4*D36</f>
        <v>12</v>
      </c>
      <c r="E37" s="155"/>
      <c r="F37" s="155"/>
      <c r="G37" s="155"/>
      <c r="H37" s="155"/>
      <c r="I37" s="155"/>
      <c r="J37" s="155"/>
      <c r="K37" s="155"/>
      <c r="L37" s="155"/>
      <c r="M37" s="155"/>
      <c r="N37" s="155"/>
      <c r="O37" s="155"/>
      <c r="P37" s="122"/>
    </row>
    <row r="38" spans="1:17" x14ac:dyDescent="0.2">
      <c r="A38" s="119"/>
      <c r="B38" s="120" t="s">
        <v>267</v>
      </c>
      <c r="C38" s="120"/>
      <c r="D38" s="156">
        <v>4.4999999999999998E-2</v>
      </c>
      <c r="E38" s="155"/>
      <c r="F38" s="155"/>
      <c r="G38" s="155"/>
      <c r="H38" s="155"/>
      <c r="I38" s="155"/>
      <c r="J38" s="155"/>
      <c r="K38" s="155"/>
      <c r="L38" s="155"/>
      <c r="M38" s="155"/>
      <c r="N38" s="155"/>
      <c r="O38" s="155"/>
      <c r="P38" s="122"/>
    </row>
    <row r="39" spans="1:17" x14ac:dyDescent="0.2">
      <c r="A39" s="119"/>
      <c r="B39" s="120" t="s">
        <v>268</v>
      </c>
      <c r="C39" s="120"/>
      <c r="D39" s="156">
        <f>D38/4</f>
        <v>1.125E-2</v>
      </c>
      <c r="E39" s="155"/>
      <c r="F39" s="155"/>
      <c r="G39" s="155"/>
      <c r="H39" s="155"/>
      <c r="I39" s="155"/>
      <c r="J39" s="155"/>
      <c r="K39" s="155"/>
      <c r="L39" s="155"/>
      <c r="M39" s="155"/>
      <c r="N39" s="155"/>
      <c r="O39" s="155"/>
      <c r="P39" s="122"/>
    </row>
    <row r="40" spans="1:17" x14ac:dyDescent="0.2">
      <c r="A40" s="119"/>
      <c r="B40" s="120" t="s">
        <v>269</v>
      </c>
      <c r="C40" s="120"/>
      <c r="D40" s="157">
        <v>6700</v>
      </c>
      <c r="E40" s="155"/>
      <c r="F40" s="155"/>
      <c r="G40" s="155"/>
      <c r="H40" s="155"/>
      <c r="I40" s="155"/>
      <c r="J40" s="155"/>
      <c r="K40" s="155"/>
      <c r="L40" s="155"/>
      <c r="M40" s="155"/>
      <c r="N40" s="155"/>
      <c r="O40" s="155"/>
      <c r="P40" s="122"/>
    </row>
    <row r="41" spans="1:17" x14ac:dyDescent="0.2">
      <c r="A41" s="119"/>
      <c r="B41" s="120"/>
      <c r="C41" s="120"/>
      <c r="D41" s="120"/>
      <c r="E41" s="120"/>
      <c r="F41" s="120"/>
      <c r="G41" s="120"/>
      <c r="H41" s="120"/>
      <c r="I41" s="120"/>
      <c r="J41" s="120"/>
      <c r="K41" s="120"/>
      <c r="L41" s="120"/>
      <c r="M41" s="120"/>
      <c r="N41" s="120"/>
      <c r="O41" s="120"/>
      <c r="P41" s="122"/>
    </row>
    <row r="42" spans="1:17" x14ac:dyDescent="0.2">
      <c r="A42" s="119"/>
      <c r="B42" s="124" t="s">
        <v>270</v>
      </c>
      <c r="C42" s="120"/>
      <c r="D42" s="120"/>
      <c r="E42" s="120"/>
      <c r="F42" s="120"/>
      <c r="G42" s="120"/>
      <c r="H42" s="120"/>
      <c r="I42" s="120"/>
      <c r="J42" s="120"/>
      <c r="K42" s="120"/>
      <c r="L42" s="120"/>
      <c r="M42" s="120"/>
      <c r="N42" s="120"/>
      <c r="O42" s="120"/>
      <c r="P42" s="122"/>
    </row>
    <row r="43" spans="1:17" x14ac:dyDescent="0.2">
      <c r="A43" s="119"/>
      <c r="B43" s="158" t="s">
        <v>271</v>
      </c>
      <c r="C43" s="120"/>
      <c r="D43" s="126">
        <v>1</v>
      </c>
      <c r="E43" s="126">
        <v>2</v>
      </c>
      <c r="F43" s="126">
        <v>3</v>
      </c>
      <c r="G43" s="126">
        <v>4</v>
      </c>
      <c r="H43" s="126">
        <v>5</v>
      </c>
      <c r="I43" s="126">
        <v>6</v>
      </c>
      <c r="J43" s="126">
        <v>7</v>
      </c>
      <c r="K43" s="126">
        <v>8</v>
      </c>
      <c r="L43" s="126">
        <v>9</v>
      </c>
      <c r="M43" s="126">
        <v>10</v>
      </c>
      <c r="N43" s="126">
        <v>11</v>
      </c>
      <c r="O43" s="126">
        <v>12</v>
      </c>
      <c r="P43" s="122"/>
    </row>
    <row r="44" spans="1:17" x14ac:dyDescent="0.2">
      <c r="A44" s="119"/>
      <c r="B44" s="120" t="s">
        <v>272</v>
      </c>
      <c r="C44" s="120"/>
      <c r="D44" s="159">
        <f>IPMT($D$39,D43,$D$37,$D$40)</f>
        <v>-75.375</v>
      </c>
      <c r="E44" s="159">
        <f t="shared" ref="E44:O44" si="1">IPMT($D$39,E43,$D$37,$D$40)</f>
        <v>-69.472984682478653</v>
      </c>
      <c r="F44" s="159">
        <f t="shared" si="1"/>
        <v>-63.504571692635217</v>
      </c>
      <c r="G44" s="159">
        <f t="shared" si="1"/>
        <v>-57.469014056656029</v>
      </c>
      <c r="H44" s="159">
        <f t="shared" si="1"/>
        <v>-51.365556397272073</v>
      </c>
      <c r="I44" s="159">
        <f t="shared" si="1"/>
        <v>-45.193434839220046</v>
      </c>
      <c r="J44" s="159">
        <f t="shared" si="1"/>
        <v>-38.951876913639929</v>
      </c>
      <c r="K44" s="159">
        <f t="shared" si="1"/>
        <v>-32.640101461397052</v>
      </c>
      <c r="L44" s="159">
        <f t="shared" si="1"/>
        <v>-26.257318535316433</v>
      </c>
      <c r="M44" s="159">
        <f t="shared" si="1"/>
        <v>-19.802729301317409</v>
      </c>
      <c r="N44" s="159">
        <f t="shared" si="1"/>
        <v>-13.275525938435896</v>
      </c>
      <c r="O44" s="159">
        <f t="shared" si="1"/>
        <v>-6.6748915377219626</v>
      </c>
      <c r="P44" s="122"/>
    </row>
    <row r="45" spans="1:17" x14ac:dyDescent="0.2">
      <c r="A45" s="119"/>
      <c r="B45" s="120" t="s">
        <v>273</v>
      </c>
      <c r="C45" s="120"/>
      <c r="D45" s="160">
        <f>PPMT($D$39,D43,$D$37,$D$40)</f>
        <v>-524.62358377967416</v>
      </c>
      <c r="E45" s="160">
        <f t="shared" ref="E45:O45" si="2">PPMT($D$39,E43,$D$37,$D$40)</f>
        <v>-530.5255990971956</v>
      </c>
      <c r="F45" s="160">
        <f t="shared" si="2"/>
        <v>-536.49401208703898</v>
      </c>
      <c r="G45" s="160">
        <f t="shared" si="2"/>
        <v>-542.5295697230182</v>
      </c>
      <c r="H45" s="160">
        <f t="shared" si="2"/>
        <v>-548.63302738240213</v>
      </c>
      <c r="I45" s="160">
        <f t="shared" si="2"/>
        <v>-554.80514894045416</v>
      </c>
      <c r="J45" s="160">
        <f t="shared" si="2"/>
        <v>-561.04670686603424</v>
      </c>
      <c r="K45" s="160">
        <f t="shared" si="2"/>
        <v>-567.3584823182772</v>
      </c>
      <c r="L45" s="160">
        <f t="shared" si="2"/>
        <v>-573.74126524435769</v>
      </c>
      <c r="M45" s="160">
        <f t="shared" si="2"/>
        <v>-580.19585447835675</v>
      </c>
      <c r="N45" s="160">
        <f t="shared" si="2"/>
        <v>-586.7230578412383</v>
      </c>
      <c r="O45" s="160">
        <f t="shared" si="2"/>
        <v>-593.32369224195224</v>
      </c>
      <c r="P45" s="122"/>
      <c r="Q45" s="161"/>
    </row>
    <row r="46" spans="1:17" x14ac:dyDescent="0.2">
      <c r="A46" s="119"/>
      <c r="B46" s="120" t="s">
        <v>274</v>
      </c>
      <c r="C46" s="120"/>
      <c r="D46" s="159">
        <f>D44+D45</f>
        <v>-599.99858377967416</v>
      </c>
      <c r="E46" s="159">
        <f>E44+E45</f>
        <v>-599.99858377967428</v>
      </c>
      <c r="F46" s="159">
        <f t="shared" ref="F46:O46" si="3">F44+F45</f>
        <v>-599.99858377967416</v>
      </c>
      <c r="G46" s="159">
        <f t="shared" si="3"/>
        <v>-599.99858377967428</v>
      </c>
      <c r="H46" s="159">
        <f t="shared" si="3"/>
        <v>-599.99858377967416</v>
      </c>
      <c r="I46" s="159">
        <f t="shared" si="3"/>
        <v>-599.99858377967416</v>
      </c>
      <c r="J46" s="159">
        <f t="shared" si="3"/>
        <v>-599.99858377967416</v>
      </c>
      <c r="K46" s="159">
        <f t="shared" si="3"/>
        <v>-599.99858377967428</v>
      </c>
      <c r="L46" s="159">
        <f t="shared" si="3"/>
        <v>-599.99858377967416</v>
      </c>
      <c r="M46" s="159">
        <f t="shared" si="3"/>
        <v>-599.99858377967416</v>
      </c>
      <c r="N46" s="159">
        <f t="shared" si="3"/>
        <v>-599.99858377967416</v>
      </c>
      <c r="O46" s="159">
        <f t="shared" si="3"/>
        <v>-599.99858377967416</v>
      </c>
      <c r="P46" s="122"/>
    </row>
    <row r="47" spans="1:17" x14ac:dyDescent="0.2">
      <c r="A47" s="119"/>
      <c r="B47" s="120"/>
      <c r="C47" s="120"/>
      <c r="D47" s="120"/>
      <c r="E47" s="120"/>
      <c r="F47" s="120"/>
      <c r="G47" s="120"/>
      <c r="H47" s="120"/>
      <c r="I47" s="120"/>
      <c r="J47" s="120"/>
      <c r="K47" s="120"/>
      <c r="L47" s="120"/>
      <c r="M47" s="120"/>
      <c r="N47" s="120"/>
      <c r="O47" s="120"/>
      <c r="P47" s="122"/>
    </row>
    <row r="48" spans="1:17" x14ac:dyDescent="0.2">
      <c r="A48" s="119"/>
      <c r="B48" s="124" t="s">
        <v>275</v>
      </c>
      <c r="C48" s="120"/>
      <c r="D48" s="120"/>
      <c r="E48" s="120"/>
      <c r="F48" s="120"/>
      <c r="G48" s="120"/>
      <c r="H48" s="120"/>
      <c r="I48" s="120"/>
      <c r="J48" s="120"/>
      <c r="K48" s="120"/>
      <c r="L48" s="120"/>
      <c r="M48" s="120"/>
      <c r="N48" s="120"/>
      <c r="O48" s="120"/>
      <c r="P48" s="122"/>
    </row>
    <row r="49" spans="1:16" x14ac:dyDescent="0.2">
      <c r="A49" s="119"/>
      <c r="B49" s="120"/>
      <c r="C49" s="120"/>
      <c r="D49" s="120"/>
      <c r="E49" s="120"/>
      <c r="F49" s="120"/>
      <c r="G49" s="120"/>
      <c r="H49" s="120"/>
      <c r="I49" s="120"/>
      <c r="J49" s="120"/>
      <c r="K49" s="120"/>
      <c r="L49" s="120"/>
      <c r="M49" s="120"/>
      <c r="N49" s="120"/>
      <c r="O49" s="120"/>
      <c r="P49" s="122"/>
    </row>
    <row r="50" spans="1:16" x14ac:dyDescent="0.2">
      <c r="A50" s="119"/>
      <c r="B50" s="120" t="s">
        <v>276</v>
      </c>
      <c r="C50" s="120"/>
      <c r="D50" s="155">
        <f>D32</f>
        <v>600.00819999999999</v>
      </c>
      <c r="E50" s="155">
        <f t="shared" ref="E50:O50" si="4">E32</f>
        <v>600.00819999999999</v>
      </c>
      <c r="F50" s="155">
        <f t="shared" si="4"/>
        <v>600.00819999999999</v>
      </c>
      <c r="G50" s="155">
        <f t="shared" si="4"/>
        <v>600.00819999999999</v>
      </c>
      <c r="H50" s="155">
        <f t="shared" si="4"/>
        <v>600.00819999999999</v>
      </c>
      <c r="I50" s="155">
        <f t="shared" si="4"/>
        <v>600.00819999999999</v>
      </c>
      <c r="J50" s="155">
        <f t="shared" si="4"/>
        <v>600.00819999999999</v>
      </c>
      <c r="K50" s="155">
        <f t="shared" si="4"/>
        <v>600.00819999999999</v>
      </c>
      <c r="L50" s="155">
        <f t="shared" si="4"/>
        <v>600.00819999999999</v>
      </c>
      <c r="M50" s="155">
        <f t="shared" si="4"/>
        <v>600.00819999999999</v>
      </c>
      <c r="N50" s="155">
        <f t="shared" si="4"/>
        <v>600.00819999999999</v>
      </c>
      <c r="O50" s="155">
        <f t="shared" si="4"/>
        <v>600.00819999999999</v>
      </c>
      <c r="P50" s="122"/>
    </row>
    <row r="51" spans="1:16" x14ac:dyDescent="0.2">
      <c r="A51" s="119"/>
      <c r="B51" s="120" t="s">
        <v>277</v>
      </c>
      <c r="C51" s="120"/>
      <c r="D51" s="162">
        <f>D46</f>
        <v>-599.99858377967416</v>
      </c>
      <c r="E51" s="162">
        <f t="shared" ref="E51:O51" si="5">E46</f>
        <v>-599.99858377967428</v>
      </c>
      <c r="F51" s="162">
        <f t="shared" si="5"/>
        <v>-599.99858377967416</v>
      </c>
      <c r="G51" s="162">
        <f t="shared" si="5"/>
        <v>-599.99858377967428</v>
      </c>
      <c r="H51" s="162">
        <f t="shared" si="5"/>
        <v>-599.99858377967416</v>
      </c>
      <c r="I51" s="162">
        <f t="shared" si="5"/>
        <v>-599.99858377967416</v>
      </c>
      <c r="J51" s="162">
        <f t="shared" si="5"/>
        <v>-599.99858377967416</v>
      </c>
      <c r="K51" s="162">
        <f t="shared" si="5"/>
        <v>-599.99858377967428</v>
      </c>
      <c r="L51" s="162">
        <f t="shared" si="5"/>
        <v>-599.99858377967416</v>
      </c>
      <c r="M51" s="162">
        <f t="shared" si="5"/>
        <v>-599.99858377967416</v>
      </c>
      <c r="N51" s="162">
        <f t="shared" si="5"/>
        <v>-599.99858377967416</v>
      </c>
      <c r="O51" s="162">
        <f t="shared" si="5"/>
        <v>-599.99858377967416</v>
      </c>
      <c r="P51" s="122"/>
    </row>
    <row r="52" spans="1:16" x14ac:dyDescent="0.2">
      <c r="A52" s="119"/>
      <c r="B52" s="120" t="s">
        <v>278</v>
      </c>
      <c r="C52" s="120"/>
      <c r="D52" s="155">
        <f>D50+D51</f>
        <v>9.6162203258245427E-3</v>
      </c>
      <c r="E52" s="155">
        <f t="shared" ref="E52:O52" si="6">E50+E51</f>
        <v>9.6162203257108558E-3</v>
      </c>
      <c r="F52" s="155">
        <f t="shared" si="6"/>
        <v>9.6162203258245427E-3</v>
      </c>
      <c r="G52" s="155">
        <f t="shared" si="6"/>
        <v>9.6162203257108558E-3</v>
      </c>
      <c r="H52" s="155">
        <f t="shared" si="6"/>
        <v>9.6162203258245427E-3</v>
      </c>
      <c r="I52" s="155">
        <f t="shared" si="6"/>
        <v>9.6162203258245427E-3</v>
      </c>
      <c r="J52" s="155">
        <f t="shared" si="6"/>
        <v>9.6162203258245427E-3</v>
      </c>
      <c r="K52" s="155">
        <f t="shared" si="6"/>
        <v>9.6162203257108558E-3</v>
      </c>
      <c r="L52" s="155">
        <f t="shared" si="6"/>
        <v>9.6162203258245427E-3</v>
      </c>
      <c r="M52" s="155">
        <f t="shared" si="6"/>
        <v>9.6162203258245427E-3</v>
      </c>
      <c r="N52" s="155">
        <f t="shared" si="6"/>
        <v>9.6162203258245427E-3</v>
      </c>
      <c r="O52" s="155">
        <f t="shared" si="6"/>
        <v>9.6162203258245427E-3</v>
      </c>
      <c r="P52" s="122"/>
    </row>
    <row r="53" spans="1:16" x14ac:dyDescent="0.2">
      <c r="A53" s="119"/>
      <c r="B53" s="120"/>
      <c r="C53" s="120"/>
      <c r="D53" s="120"/>
      <c r="E53" s="120"/>
      <c r="F53" s="120"/>
      <c r="G53" s="120"/>
      <c r="H53" s="120"/>
      <c r="I53" s="120"/>
      <c r="J53" s="120"/>
      <c r="K53" s="120"/>
      <c r="L53" s="120"/>
      <c r="M53" s="120"/>
      <c r="N53" s="120"/>
      <c r="O53" s="120"/>
      <c r="P53" s="122"/>
    </row>
    <row r="54" spans="1:16" ht="13.5" thickBot="1" x14ac:dyDescent="0.25">
      <c r="A54" s="133"/>
      <c r="B54" s="134"/>
      <c r="C54" s="134"/>
      <c r="D54" s="134"/>
      <c r="E54" s="134"/>
      <c r="F54" s="134"/>
      <c r="G54" s="134"/>
      <c r="H54" s="134"/>
      <c r="I54" s="134"/>
      <c r="J54" s="134"/>
      <c r="K54" s="134"/>
      <c r="L54" s="134"/>
      <c r="M54" s="134"/>
      <c r="N54" s="134"/>
      <c r="O54" s="134"/>
      <c r="P54" s="136"/>
    </row>
  </sheetData>
  <mergeCells count="3">
    <mergeCell ref="B2:O2"/>
    <mergeCell ref="B4:O5"/>
    <mergeCell ref="B7:O10"/>
  </mergeCells>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RowHeight="12.75" x14ac:dyDescent="0.2"/>
  <cols>
    <col min="1" max="1" width="2.83203125" customWidth="1"/>
    <col min="2" max="2" width="50.83203125" customWidth="1"/>
    <col min="3" max="3" width="2.83203125" customWidth="1"/>
    <col min="4" max="4" width="20.83203125" customWidth="1"/>
    <col min="5" max="5" width="2.83203125" customWidth="1"/>
    <col min="6" max="6" width="20.83203125" customWidth="1"/>
    <col min="7" max="7" width="2.83203125" customWidth="1"/>
  </cols>
  <sheetData>
    <row r="1" spans="1:7" x14ac:dyDescent="0.2">
      <c r="A1" s="5"/>
      <c r="B1" s="6"/>
      <c r="C1" s="6"/>
      <c r="D1" s="6"/>
      <c r="E1" s="6"/>
      <c r="F1" s="6"/>
      <c r="G1" s="7"/>
    </row>
    <row r="2" spans="1:7" ht="18.75" x14ac:dyDescent="0.3">
      <c r="A2" s="1"/>
      <c r="B2" s="163" t="s">
        <v>187</v>
      </c>
      <c r="C2" s="163"/>
      <c r="D2" s="163"/>
      <c r="E2" s="164"/>
      <c r="F2" s="164"/>
      <c r="G2" s="2"/>
    </row>
    <row r="3" spans="1:7" x14ac:dyDescent="0.2">
      <c r="A3" s="8"/>
      <c r="B3" s="9"/>
      <c r="C3" s="10"/>
      <c r="D3" s="10"/>
      <c r="E3" s="10"/>
      <c r="F3" s="10"/>
      <c r="G3" s="11"/>
    </row>
    <row r="4" spans="1:7" x14ac:dyDescent="0.2">
      <c r="A4" s="8"/>
      <c r="B4" s="172" t="s">
        <v>177</v>
      </c>
      <c r="C4" s="173"/>
      <c r="D4" s="173"/>
      <c r="E4" s="173"/>
      <c r="F4" s="173"/>
      <c r="G4" s="11"/>
    </row>
    <row r="5" spans="1:7" x14ac:dyDescent="0.2">
      <c r="A5" s="8"/>
      <c r="B5" s="173"/>
      <c r="C5" s="173"/>
      <c r="D5" s="173"/>
      <c r="E5" s="173"/>
      <c r="F5" s="173"/>
      <c r="G5" s="11"/>
    </row>
    <row r="6" spans="1:7" x14ac:dyDescent="0.2">
      <c r="A6" s="8"/>
      <c r="B6" s="173"/>
      <c r="C6" s="173"/>
      <c r="D6" s="173"/>
      <c r="E6" s="173"/>
      <c r="F6" s="173"/>
      <c r="G6" s="11"/>
    </row>
    <row r="7" spans="1:7" x14ac:dyDescent="0.2">
      <c r="A7" s="8"/>
      <c r="B7" s="173"/>
      <c r="C7" s="173"/>
      <c r="D7" s="173"/>
      <c r="E7" s="173"/>
      <c r="F7" s="173"/>
      <c r="G7" s="11"/>
    </row>
    <row r="8" spans="1:7" x14ac:dyDescent="0.2">
      <c r="A8" s="8"/>
      <c r="B8" s="173"/>
      <c r="C8" s="173"/>
      <c r="D8" s="173"/>
      <c r="E8" s="173"/>
      <c r="F8" s="173"/>
      <c r="G8" s="11"/>
    </row>
    <row r="9" spans="1:7" x14ac:dyDescent="0.2">
      <c r="A9" s="8"/>
      <c r="B9" s="173"/>
      <c r="C9" s="173"/>
      <c r="D9" s="173"/>
      <c r="E9" s="173"/>
      <c r="F9" s="173"/>
      <c r="G9" s="11"/>
    </row>
    <row r="10" spans="1:7" x14ac:dyDescent="0.2">
      <c r="A10" s="8"/>
      <c r="B10" s="173"/>
      <c r="C10" s="173"/>
      <c r="D10" s="173"/>
      <c r="E10" s="173"/>
      <c r="F10" s="173"/>
      <c r="G10" s="11"/>
    </row>
    <row r="11" spans="1:7" x14ac:dyDescent="0.2">
      <c r="A11" s="8"/>
      <c r="B11" s="173"/>
      <c r="C11" s="173"/>
      <c r="D11" s="173"/>
      <c r="E11" s="173"/>
      <c r="F11" s="173"/>
      <c r="G11" s="11"/>
    </row>
    <row r="12" spans="1:7" x14ac:dyDescent="0.2">
      <c r="A12" s="8"/>
      <c r="B12" s="173"/>
      <c r="C12" s="173"/>
      <c r="D12" s="173"/>
      <c r="E12" s="173"/>
      <c r="F12" s="173"/>
      <c r="G12" s="11"/>
    </row>
    <row r="13" spans="1:7" x14ac:dyDescent="0.2">
      <c r="A13" s="8"/>
      <c r="B13" s="143"/>
      <c r="C13" s="143"/>
      <c r="D13" s="143"/>
      <c r="E13" s="143"/>
      <c r="F13" s="143"/>
      <c r="G13" s="11"/>
    </row>
    <row r="14" spans="1:7" x14ac:dyDescent="0.2">
      <c r="A14" s="8"/>
      <c r="B14" s="143"/>
      <c r="C14" s="143"/>
      <c r="D14" s="143"/>
      <c r="E14" s="143"/>
      <c r="F14" s="143"/>
      <c r="G14" s="11"/>
    </row>
    <row r="15" spans="1:7" x14ac:dyDescent="0.2">
      <c r="A15" s="8"/>
      <c r="B15" s="165" t="s">
        <v>175</v>
      </c>
      <c r="C15" s="171"/>
      <c r="D15" s="171"/>
      <c r="E15" s="171"/>
      <c r="F15" s="171"/>
      <c r="G15" s="11"/>
    </row>
    <row r="16" spans="1:7" x14ac:dyDescent="0.2">
      <c r="A16" s="8"/>
      <c r="B16" s="165" t="s">
        <v>176</v>
      </c>
      <c r="C16" s="171"/>
      <c r="D16" s="171"/>
      <c r="E16" s="171"/>
      <c r="F16" s="171"/>
      <c r="G16" s="11"/>
    </row>
    <row r="17" spans="1:7" x14ac:dyDescent="0.2">
      <c r="A17" s="8"/>
      <c r="B17" s="170" t="s">
        <v>132</v>
      </c>
      <c r="C17" s="167"/>
      <c r="D17" s="167"/>
      <c r="E17" s="167"/>
      <c r="F17" s="167"/>
      <c r="G17" s="11"/>
    </row>
    <row r="18" spans="1:7" x14ac:dyDescent="0.2">
      <c r="A18" s="8"/>
      <c r="B18" s="167"/>
      <c r="C18" s="167"/>
      <c r="D18" s="167"/>
      <c r="E18" s="167"/>
      <c r="F18" s="167"/>
      <c r="G18" s="11"/>
    </row>
    <row r="19" spans="1:7" x14ac:dyDescent="0.2">
      <c r="A19" s="8"/>
      <c r="B19" s="46"/>
      <c r="C19" s="4"/>
      <c r="D19" s="4"/>
      <c r="E19" s="10"/>
      <c r="F19" s="10"/>
      <c r="G19" s="11"/>
    </row>
    <row r="20" spans="1:7" x14ac:dyDescent="0.2">
      <c r="A20" s="8"/>
      <c r="B20" s="47"/>
      <c r="C20" s="4"/>
      <c r="D20" s="13" t="s">
        <v>107</v>
      </c>
      <c r="E20" s="40"/>
      <c r="F20" s="13" t="s">
        <v>108</v>
      </c>
      <c r="G20" s="11"/>
    </row>
    <row r="21" spans="1:7" x14ac:dyDescent="0.2">
      <c r="A21" s="8"/>
      <c r="B21" s="48" t="s">
        <v>106</v>
      </c>
      <c r="C21" s="4"/>
      <c r="D21" s="42">
        <v>3.5</v>
      </c>
      <c r="E21" s="10"/>
      <c r="F21" s="42">
        <v>4.5</v>
      </c>
      <c r="G21" s="11"/>
    </row>
    <row r="22" spans="1:7" x14ac:dyDescent="0.2">
      <c r="A22" s="8"/>
      <c r="B22" s="10"/>
      <c r="C22" s="10"/>
      <c r="D22" s="10"/>
      <c r="E22" s="10"/>
      <c r="F22" s="10"/>
      <c r="G22" s="11"/>
    </row>
    <row r="23" spans="1:7" x14ac:dyDescent="0.2">
      <c r="A23" s="8"/>
      <c r="B23" s="10" t="s">
        <v>131</v>
      </c>
      <c r="C23" s="10"/>
      <c r="D23" s="10"/>
      <c r="E23" s="10"/>
      <c r="F23" s="10"/>
      <c r="G23" s="11"/>
    </row>
    <row r="24" spans="1:7" x14ac:dyDescent="0.2">
      <c r="A24" s="8"/>
      <c r="B24" s="10"/>
      <c r="C24" s="10"/>
      <c r="D24" s="10"/>
      <c r="E24" s="10"/>
      <c r="F24" s="10"/>
      <c r="G24" s="11"/>
    </row>
    <row r="25" spans="1:7" x14ac:dyDescent="0.2">
      <c r="A25" s="8"/>
      <c r="B25" s="40" t="s">
        <v>109</v>
      </c>
      <c r="C25" s="10"/>
      <c r="D25" s="49">
        <v>6</v>
      </c>
      <c r="E25" s="10"/>
      <c r="F25" s="10"/>
      <c r="G25" s="11"/>
    </row>
    <row r="26" spans="1:7" x14ac:dyDescent="0.2">
      <c r="A26" s="8"/>
      <c r="B26" s="40" t="s">
        <v>110</v>
      </c>
      <c r="C26" s="10"/>
      <c r="D26" s="50">
        <f>F21</f>
        <v>4.5</v>
      </c>
      <c r="E26" s="10"/>
      <c r="F26" s="10"/>
      <c r="G26" s="11"/>
    </row>
    <row r="27" spans="1:7" x14ac:dyDescent="0.2">
      <c r="A27" s="8"/>
      <c r="B27" s="40" t="s">
        <v>111</v>
      </c>
      <c r="C27" s="10"/>
      <c r="D27" s="51">
        <f>D25-D26</f>
        <v>1.5</v>
      </c>
      <c r="E27" s="10"/>
      <c r="F27" s="10"/>
      <c r="G27" s="11"/>
    </row>
    <row r="28" spans="1:7" x14ac:dyDescent="0.2">
      <c r="A28" s="8"/>
      <c r="B28" s="48" t="s">
        <v>140</v>
      </c>
      <c r="C28" s="10"/>
      <c r="D28" s="69">
        <f>0.5*D27</f>
        <v>0.75</v>
      </c>
      <c r="E28" s="10"/>
      <c r="F28" s="10"/>
      <c r="G28" s="11"/>
    </row>
    <row r="29" spans="1:7" x14ac:dyDescent="0.2">
      <c r="A29" s="8"/>
      <c r="B29" s="48" t="s">
        <v>141</v>
      </c>
      <c r="C29" s="10"/>
      <c r="D29" s="49">
        <f>0.5*D27</f>
        <v>0.75</v>
      </c>
      <c r="E29" s="10"/>
      <c r="F29" s="10"/>
      <c r="G29" s="11"/>
    </row>
    <row r="30" spans="1:7" x14ac:dyDescent="0.2">
      <c r="A30" s="8"/>
      <c r="B30" s="10"/>
      <c r="C30" s="10"/>
      <c r="D30" s="10"/>
      <c r="E30" s="10"/>
      <c r="F30" s="10"/>
      <c r="G30" s="11"/>
    </row>
    <row r="31" spans="1:7" x14ac:dyDescent="0.2">
      <c r="A31" s="8"/>
      <c r="B31" s="3" t="s">
        <v>142</v>
      </c>
      <c r="C31" s="10"/>
      <c r="D31" s="10"/>
      <c r="E31" s="10"/>
      <c r="F31" s="10"/>
      <c r="G31" s="11"/>
    </row>
    <row r="32" spans="1:7" x14ac:dyDescent="0.2">
      <c r="A32" s="8"/>
      <c r="B32" s="40"/>
      <c r="C32" s="10"/>
      <c r="D32" s="10"/>
      <c r="E32" s="10"/>
      <c r="F32" s="10"/>
      <c r="G32" s="11"/>
    </row>
    <row r="33" spans="1:7" x14ac:dyDescent="0.2">
      <c r="A33" s="8"/>
      <c r="B33" s="40" t="s">
        <v>112</v>
      </c>
      <c r="C33" s="10"/>
      <c r="D33" s="51">
        <f>F21</f>
        <v>4.5</v>
      </c>
      <c r="E33" s="10"/>
      <c r="F33" s="10"/>
      <c r="G33" s="11"/>
    </row>
    <row r="34" spans="1:7" x14ac:dyDescent="0.2">
      <c r="A34" s="8"/>
      <c r="B34" s="48" t="s">
        <v>140</v>
      </c>
      <c r="C34" s="10"/>
      <c r="D34" s="27">
        <f>D28</f>
        <v>0.75</v>
      </c>
      <c r="E34" s="10"/>
      <c r="F34" s="10"/>
      <c r="G34" s="11"/>
    </row>
    <row r="35" spans="1:7" x14ac:dyDescent="0.2">
      <c r="A35" s="8"/>
      <c r="B35" s="40" t="s">
        <v>113</v>
      </c>
      <c r="C35" s="10"/>
      <c r="D35" s="69">
        <f>D33+D34</f>
        <v>5.25</v>
      </c>
      <c r="E35" s="10"/>
      <c r="F35" s="10"/>
      <c r="G35" s="11"/>
    </row>
    <row r="36" spans="1:7" x14ac:dyDescent="0.2">
      <c r="A36" s="8"/>
      <c r="B36" s="10"/>
      <c r="C36" s="10"/>
      <c r="D36" s="10"/>
      <c r="E36" s="10"/>
      <c r="F36" s="10"/>
      <c r="G36" s="11"/>
    </row>
    <row r="37" spans="1:7" x14ac:dyDescent="0.2">
      <c r="A37" s="8"/>
      <c r="B37" s="40" t="s">
        <v>114</v>
      </c>
      <c r="C37" s="10"/>
      <c r="D37" s="14">
        <v>8000000</v>
      </c>
      <c r="E37" s="10"/>
      <c r="F37" s="10"/>
      <c r="G37" s="11"/>
    </row>
    <row r="38" spans="1:7" x14ac:dyDescent="0.2">
      <c r="A38" s="8"/>
      <c r="B38" s="48" t="s">
        <v>143</v>
      </c>
      <c r="C38" s="10"/>
      <c r="D38" s="49">
        <f>D35</f>
        <v>5.25</v>
      </c>
      <c r="E38" s="10"/>
      <c r="F38" s="10"/>
      <c r="G38" s="11"/>
    </row>
    <row r="39" spans="1:7" x14ac:dyDescent="0.2">
      <c r="A39" s="8"/>
      <c r="B39" s="48" t="s">
        <v>144</v>
      </c>
      <c r="C39" s="10"/>
      <c r="D39" s="70">
        <f>D37/D38</f>
        <v>1523809.5238095238</v>
      </c>
      <c r="E39" s="10"/>
      <c r="F39" s="10"/>
      <c r="G39" s="11"/>
    </row>
    <row r="40" spans="1:7" x14ac:dyDescent="0.2">
      <c r="A40" s="8"/>
      <c r="B40" s="10"/>
      <c r="C40" s="10"/>
      <c r="D40" s="10"/>
      <c r="E40" s="10"/>
      <c r="F40" s="10"/>
      <c r="G40" s="11"/>
    </row>
    <row r="41" spans="1:7" x14ac:dyDescent="0.2">
      <c r="A41" s="8"/>
      <c r="B41" s="166" t="s">
        <v>145</v>
      </c>
      <c r="C41" s="167"/>
      <c r="D41" s="167"/>
      <c r="E41" s="167"/>
      <c r="F41" s="167"/>
      <c r="G41" s="11"/>
    </row>
    <row r="42" spans="1:7" x14ac:dyDescent="0.2">
      <c r="A42" s="8"/>
      <c r="B42" s="167"/>
      <c r="C42" s="167"/>
      <c r="D42" s="167"/>
      <c r="E42" s="167"/>
      <c r="F42" s="167"/>
      <c r="G42" s="11"/>
    </row>
    <row r="43" spans="1:7" x14ac:dyDescent="0.2">
      <c r="A43" s="8"/>
      <c r="B43" s="10"/>
      <c r="C43" s="10"/>
      <c r="D43" s="10"/>
      <c r="E43" s="10"/>
      <c r="F43" s="10"/>
      <c r="G43" s="11"/>
    </row>
    <row r="44" spans="1:7" x14ac:dyDescent="0.2">
      <c r="A44" s="8"/>
      <c r="B44" s="19" t="s">
        <v>146</v>
      </c>
      <c r="C44" s="10"/>
      <c r="D44" s="10"/>
      <c r="E44" s="10"/>
      <c r="F44" s="10"/>
      <c r="G44" s="11"/>
    </row>
    <row r="45" spans="1:7" x14ac:dyDescent="0.2">
      <c r="A45" s="8"/>
      <c r="B45" s="10"/>
      <c r="C45" s="10"/>
      <c r="D45" s="10"/>
      <c r="E45" s="10"/>
      <c r="F45" s="10"/>
      <c r="G45" s="11"/>
    </row>
    <row r="46" spans="1:7" x14ac:dyDescent="0.2">
      <c r="A46" s="8"/>
      <c r="B46" s="168" t="s">
        <v>147</v>
      </c>
      <c r="C46" s="169"/>
      <c r="D46" s="169"/>
      <c r="E46" s="169"/>
      <c r="F46" s="169"/>
      <c r="G46" s="11"/>
    </row>
    <row r="47" spans="1:7" x14ac:dyDescent="0.2">
      <c r="A47" s="8"/>
      <c r="B47" s="169"/>
      <c r="C47" s="169"/>
      <c r="D47" s="169"/>
      <c r="E47" s="169"/>
      <c r="F47" s="169"/>
      <c r="G47" s="11"/>
    </row>
    <row r="48" spans="1:7" ht="13.5" thickBot="1" x14ac:dyDescent="0.25">
      <c r="A48" s="22"/>
      <c r="B48" s="23"/>
      <c r="C48" s="23"/>
      <c r="D48" s="23"/>
      <c r="E48" s="23"/>
      <c r="F48" s="23"/>
      <c r="G48" s="24"/>
    </row>
  </sheetData>
  <mergeCells count="7">
    <mergeCell ref="B2:F2"/>
    <mergeCell ref="B41:F42"/>
    <mergeCell ref="B46:F47"/>
    <mergeCell ref="B17:F18"/>
    <mergeCell ref="B15:F15"/>
    <mergeCell ref="B16:F16"/>
    <mergeCell ref="B4:F12"/>
  </mergeCells>
  <phoneticPr fontId="0" type="noConversion"/>
  <printOptions horizontalCentered="1"/>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heetViews>
  <sheetFormatPr defaultRowHeight="12.75" x14ac:dyDescent="0.2"/>
  <cols>
    <col min="1" max="1" width="2.83203125" customWidth="1"/>
    <col min="2" max="2" width="40.83203125" customWidth="1"/>
    <col min="3" max="3" width="2.83203125" customWidth="1"/>
    <col min="4" max="4" width="22.83203125" customWidth="1"/>
    <col min="5" max="5" width="2.83203125" customWidth="1"/>
    <col min="6" max="6" width="22.83203125" customWidth="1"/>
    <col min="7" max="7" width="2.83203125" customWidth="1"/>
  </cols>
  <sheetData>
    <row r="1" spans="1:7" x14ac:dyDescent="0.2">
      <c r="A1" s="5"/>
      <c r="B1" s="6"/>
      <c r="C1" s="6"/>
      <c r="D1" s="6"/>
      <c r="E1" s="6"/>
      <c r="F1" s="6"/>
      <c r="G1" s="7"/>
    </row>
    <row r="2" spans="1:7" ht="18.75" x14ac:dyDescent="0.3">
      <c r="A2" s="1"/>
      <c r="B2" s="163" t="s">
        <v>188</v>
      </c>
      <c r="C2" s="163"/>
      <c r="D2" s="163"/>
      <c r="E2" s="174"/>
      <c r="F2" s="174"/>
      <c r="G2" s="2"/>
    </row>
    <row r="3" spans="1:7" x14ac:dyDescent="0.2">
      <c r="A3" s="8"/>
      <c r="B3" s="9"/>
      <c r="C3" s="10"/>
      <c r="D3" s="10"/>
      <c r="E3" s="10"/>
      <c r="F3" s="10"/>
      <c r="G3" s="11"/>
    </row>
    <row r="4" spans="1:7" ht="12.75" customHeight="1" x14ac:dyDescent="0.2">
      <c r="A4" s="8"/>
      <c r="B4" s="175" t="s">
        <v>189</v>
      </c>
      <c r="C4" s="165"/>
      <c r="D4" s="165"/>
      <c r="E4" s="165"/>
      <c r="F4" s="165"/>
      <c r="G4" s="11"/>
    </row>
    <row r="5" spans="1:7" x14ac:dyDescent="0.2">
      <c r="A5" s="8"/>
      <c r="B5" s="165"/>
      <c r="C5" s="165"/>
      <c r="D5" s="165"/>
      <c r="E5" s="165"/>
      <c r="F5" s="165"/>
      <c r="G5" s="11"/>
    </row>
    <row r="6" spans="1:7" x14ac:dyDescent="0.2">
      <c r="A6" s="8"/>
      <c r="B6" s="165"/>
      <c r="C6" s="165"/>
      <c r="D6" s="165"/>
      <c r="E6" s="165"/>
      <c r="F6" s="165"/>
      <c r="G6" s="11"/>
    </row>
    <row r="7" spans="1:7" x14ac:dyDescent="0.2">
      <c r="A7" s="8"/>
      <c r="B7" s="165"/>
      <c r="C7" s="165"/>
      <c r="D7" s="165"/>
      <c r="E7" s="165"/>
      <c r="F7" s="165"/>
      <c r="G7" s="11"/>
    </row>
    <row r="8" spans="1:7" x14ac:dyDescent="0.2">
      <c r="A8" s="8"/>
      <c r="B8" s="165"/>
      <c r="C8" s="165"/>
      <c r="D8" s="165"/>
      <c r="E8" s="165"/>
      <c r="F8" s="165"/>
      <c r="G8" s="11"/>
    </row>
    <row r="9" spans="1:7" x14ac:dyDescent="0.2">
      <c r="A9" s="8"/>
      <c r="B9" s="165"/>
      <c r="C9" s="165"/>
      <c r="D9" s="165"/>
      <c r="E9" s="165"/>
      <c r="F9" s="165"/>
      <c r="G9" s="11"/>
    </row>
    <row r="10" spans="1:7" x14ac:dyDescent="0.2">
      <c r="A10" s="8"/>
      <c r="B10" s="165"/>
      <c r="C10" s="165"/>
      <c r="D10" s="165"/>
      <c r="E10" s="165"/>
      <c r="F10" s="165"/>
      <c r="G10" s="11"/>
    </row>
    <row r="11" spans="1:7" x14ac:dyDescent="0.2">
      <c r="A11" s="8"/>
      <c r="B11" s="165"/>
      <c r="C11" s="165"/>
      <c r="D11" s="165"/>
      <c r="E11" s="165"/>
      <c r="F11" s="165"/>
      <c r="G11" s="11"/>
    </row>
    <row r="12" spans="1:7" x14ac:dyDescent="0.2">
      <c r="A12" s="8"/>
      <c r="B12" s="165"/>
      <c r="C12" s="165"/>
      <c r="D12" s="165"/>
      <c r="E12" s="165"/>
      <c r="F12" s="165"/>
      <c r="G12" s="11"/>
    </row>
    <row r="13" spans="1:7" x14ac:dyDescent="0.2">
      <c r="A13" s="8"/>
      <c r="B13" s="165"/>
      <c r="C13" s="165"/>
      <c r="D13" s="165"/>
      <c r="E13" s="165"/>
      <c r="F13" s="165"/>
      <c r="G13" s="11"/>
    </row>
    <row r="14" spans="1:7" x14ac:dyDescent="0.2">
      <c r="A14" s="8"/>
      <c r="B14" s="165"/>
      <c r="C14" s="165"/>
      <c r="D14" s="165"/>
      <c r="E14" s="165"/>
      <c r="F14" s="165"/>
      <c r="G14" s="11"/>
    </row>
    <row r="15" spans="1:7" x14ac:dyDescent="0.2">
      <c r="A15" s="8"/>
      <c r="B15" s="10"/>
      <c r="C15" s="10"/>
      <c r="D15" s="10"/>
      <c r="E15" s="10"/>
      <c r="F15" s="10"/>
      <c r="G15" s="11"/>
    </row>
    <row r="16" spans="1:7" x14ac:dyDescent="0.2">
      <c r="A16" s="8"/>
      <c r="B16" s="12" t="s">
        <v>1</v>
      </c>
      <c r="C16" s="10"/>
      <c r="D16" s="13" t="s">
        <v>0</v>
      </c>
      <c r="E16" s="10"/>
      <c r="F16" s="10"/>
      <c r="G16" s="11"/>
    </row>
    <row r="17" spans="1:7" x14ac:dyDescent="0.2">
      <c r="A17" s="8"/>
      <c r="B17" s="10" t="s">
        <v>16</v>
      </c>
      <c r="C17" s="10"/>
      <c r="D17" s="14">
        <v>10000</v>
      </c>
      <c r="E17" s="10"/>
      <c r="F17" s="10"/>
      <c r="G17" s="11"/>
    </row>
    <row r="18" spans="1:7" x14ac:dyDescent="0.2">
      <c r="A18" s="8"/>
      <c r="B18" s="10" t="s">
        <v>17</v>
      </c>
      <c r="C18" s="10"/>
      <c r="D18" s="63">
        <v>24000</v>
      </c>
      <c r="E18" s="10"/>
      <c r="F18" s="10"/>
      <c r="G18" s="11"/>
    </row>
    <row r="19" spans="1:7" x14ac:dyDescent="0.2">
      <c r="A19" s="8"/>
      <c r="B19" s="10" t="s">
        <v>23</v>
      </c>
      <c r="C19" s="10"/>
      <c r="D19" s="16">
        <v>0.75</v>
      </c>
      <c r="E19" s="10"/>
      <c r="F19" s="10"/>
      <c r="G19" s="11"/>
    </row>
    <row r="20" spans="1:7" x14ac:dyDescent="0.2">
      <c r="A20" s="8"/>
      <c r="B20" s="10" t="s">
        <v>24</v>
      </c>
      <c r="C20" s="10"/>
      <c r="D20" s="26">
        <f>D18*D19</f>
        <v>18000</v>
      </c>
      <c r="E20" s="10"/>
      <c r="F20" s="10"/>
      <c r="G20" s="11"/>
    </row>
    <row r="21" spans="1:7" x14ac:dyDescent="0.2">
      <c r="A21" s="8"/>
      <c r="B21" s="10" t="s">
        <v>123</v>
      </c>
      <c r="C21" s="10"/>
      <c r="D21" s="18">
        <v>8.1999999999999993</v>
      </c>
      <c r="E21" s="10"/>
      <c r="F21" s="10"/>
      <c r="G21" s="11"/>
    </row>
    <row r="22" spans="1:7" x14ac:dyDescent="0.2">
      <c r="A22" s="8"/>
      <c r="B22" s="10" t="s">
        <v>124</v>
      </c>
      <c r="C22" s="10"/>
      <c r="D22" s="18">
        <v>9.1999999999999993</v>
      </c>
      <c r="E22" s="10"/>
      <c r="F22" s="10"/>
      <c r="G22" s="11"/>
    </row>
    <row r="23" spans="1:7" x14ac:dyDescent="0.2">
      <c r="A23" s="8"/>
      <c r="B23" s="10" t="s">
        <v>20</v>
      </c>
      <c r="C23" s="10"/>
      <c r="D23" s="16">
        <v>-0.1</v>
      </c>
      <c r="E23" s="10"/>
      <c r="F23" s="10"/>
      <c r="G23" s="11"/>
    </row>
    <row r="24" spans="1:7" x14ac:dyDescent="0.2">
      <c r="A24" s="8"/>
      <c r="B24" s="10"/>
      <c r="C24" s="10"/>
      <c r="D24" s="10"/>
      <c r="E24" s="10"/>
      <c r="F24" s="10"/>
      <c r="G24" s="11"/>
    </row>
    <row r="25" spans="1:7" x14ac:dyDescent="0.2">
      <c r="A25" s="8"/>
      <c r="B25" s="10"/>
      <c r="C25" s="10"/>
      <c r="D25" s="67" t="s">
        <v>3</v>
      </c>
      <c r="E25" s="10"/>
      <c r="F25" s="67" t="s">
        <v>4</v>
      </c>
      <c r="G25" s="11"/>
    </row>
    <row r="26" spans="1:7" x14ac:dyDescent="0.2">
      <c r="A26" s="8"/>
      <c r="B26" s="12" t="s">
        <v>22</v>
      </c>
      <c r="C26" s="10"/>
      <c r="D26" s="13" t="s">
        <v>125</v>
      </c>
      <c r="E26" s="10"/>
      <c r="F26" s="13" t="s">
        <v>19</v>
      </c>
      <c r="G26" s="11"/>
    </row>
    <row r="27" spans="1:7" x14ac:dyDescent="0.2">
      <c r="A27" s="8"/>
      <c r="B27" s="19"/>
      <c r="C27" s="10"/>
      <c r="D27" s="20"/>
      <c r="E27" s="10"/>
      <c r="F27" s="20"/>
      <c r="G27" s="11"/>
    </row>
    <row r="28" spans="1:7" x14ac:dyDescent="0.2">
      <c r="A28" s="8"/>
      <c r="B28" s="10" t="s">
        <v>17</v>
      </c>
      <c r="C28" s="10"/>
      <c r="D28" s="26">
        <f>(D18*D21/D22)</f>
        <v>21391.304347826084</v>
      </c>
      <c r="E28" s="26"/>
      <c r="F28" s="26">
        <f>D18</f>
        <v>24000</v>
      </c>
      <c r="G28" s="11"/>
    </row>
    <row r="29" spans="1:7" x14ac:dyDescent="0.2">
      <c r="A29" s="8"/>
      <c r="B29" s="10" t="s">
        <v>51</v>
      </c>
      <c r="C29" s="10"/>
      <c r="D29" s="21">
        <f>D17</f>
        <v>10000</v>
      </c>
      <c r="E29" s="19"/>
      <c r="F29" s="21">
        <f>D17*(1+D23)</f>
        <v>9000</v>
      </c>
      <c r="G29" s="11"/>
    </row>
    <row r="30" spans="1:7" x14ac:dyDescent="0.2">
      <c r="A30" s="8"/>
      <c r="B30" s="10"/>
      <c r="C30" s="10"/>
      <c r="D30" s="17"/>
      <c r="E30" s="19"/>
      <c r="F30" s="19"/>
      <c r="G30" s="11"/>
    </row>
    <row r="31" spans="1:7" x14ac:dyDescent="0.2">
      <c r="A31" s="8"/>
      <c r="B31" s="10" t="s">
        <v>8</v>
      </c>
      <c r="C31" s="10"/>
      <c r="D31" s="45">
        <f>D28*D29</f>
        <v>213913043.47826084</v>
      </c>
      <c r="E31" s="64"/>
      <c r="F31" s="45">
        <f>F28*F29</f>
        <v>216000000</v>
      </c>
      <c r="G31" s="11"/>
    </row>
    <row r="32" spans="1:7" x14ac:dyDescent="0.2">
      <c r="A32" s="8"/>
      <c r="B32" s="10" t="s">
        <v>18</v>
      </c>
      <c r="C32" s="10"/>
      <c r="D32" s="65">
        <f>-$D$20*D17</f>
        <v>-180000000</v>
      </c>
      <c r="E32" s="64"/>
      <c r="F32" s="65">
        <f>-D20*D17*(1+D23)</f>
        <v>-162000000</v>
      </c>
      <c r="G32" s="11"/>
    </row>
    <row r="33" spans="1:7" x14ac:dyDescent="0.2">
      <c r="A33" s="8"/>
      <c r="B33" s="10" t="s">
        <v>126</v>
      </c>
      <c r="C33" s="10"/>
      <c r="D33" s="66">
        <f>D31+D32</f>
        <v>33913043.478260845</v>
      </c>
      <c r="E33" s="45"/>
      <c r="F33" s="66">
        <f>F31+F32</f>
        <v>54000000</v>
      </c>
      <c r="G33" s="11"/>
    </row>
    <row r="34" spans="1:7" x14ac:dyDescent="0.2">
      <c r="A34" s="8"/>
      <c r="B34" s="10"/>
      <c r="C34" s="10"/>
      <c r="D34" s="10"/>
      <c r="E34" s="10"/>
      <c r="F34" s="67" t="s">
        <v>21</v>
      </c>
      <c r="G34" s="11"/>
    </row>
    <row r="35" spans="1:7" ht="13.5" thickBot="1" x14ac:dyDescent="0.25">
      <c r="A35" s="22"/>
      <c r="B35" s="23"/>
      <c r="C35" s="23"/>
      <c r="D35" s="23"/>
      <c r="E35" s="23"/>
      <c r="F35" s="23"/>
      <c r="G35" s="24"/>
    </row>
  </sheetData>
  <mergeCells count="2">
    <mergeCell ref="B2:F2"/>
    <mergeCell ref="B4:F14"/>
  </mergeCells>
  <phoneticPr fontId="0" type="noConversion"/>
  <printOptions horizontalCentered="1"/>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heetViews>
  <sheetFormatPr defaultRowHeight="12.75" x14ac:dyDescent="0.2"/>
  <cols>
    <col min="1" max="1" width="2.83203125" customWidth="1"/>
    <col min="2" max="2" width="30.83203125" customWidth="1"/>
    <col min="3" max="3" width="2.83203125" customWidth="1"/>
    <col min="4" max="4" width="16.83203125" customWidth="1"/>
    <col min="5" max="5" width="2.83203125" customWidth="1"/>
    <col min="6" max="6" width="16.83203125" customWidth="1"/>
    <col min="7" max="7" width="2.83203125" customWidth="1"/>
    <col min="8" max="8" width="16.83203125" customWidth="1"/>
    <col min="9" max="9" width="2.83203125" customWidth="1"/>
    <col min="10" max="10" width="16.83203125" customWidth="1"/>
    <col min="11" max="11" width="2.83203125" customWidth="1"/>
    <col min="12" max="12" width="16.83203125" customWidth="1"/>
    <col min="13" max="13" width="2.83203125" customWidth="1"/>
    <col min="14" max="14" width="18.83203125" customWidth="1"/>
    <col min="15" max="15" width="2.83203125" customWidth="1"/>
  </cols>
  <sheetData>
    <row r="1" spans="1:15" x14ac:dyDescent="0.2">
      <c r="A1" s="5"/>
      <c r="B1" s="6"/>
      <c r="C1" s="6"/>
      <c r="D1" s="6"/>
      <c r="E1" s="6"/>
      <c r="F1" s="6"/>
      <c r="G1" s="6"/>
      <c r="H1" s="6"/>
      <c r="I1" s="6"/>
      <c r="J1" s="6"/>
      <c r="K1" s="6"/>
      <c r="L1" s="6"/>
      <c r="M1" s="6"/>
      <c r="N1" s="6"/>
      <c r="O1" s="7"/>
    </row>
    <row r="2" spans="1:15" ht="18.75" x14ac:dyDescent="0.3">
      <c r="A2" s="1"/>
      <c r="B2" s="163" t="s">
        <v>190</v>
      </c>
      <c r="C2" s="163"/>
      <c r="D2" s="163"/>
      <c r="E2" s="164"/>
      <c r="F2" s="164"/>
      <c r="G2" s="164"/>
      <c r="H2" s="164"/>
      <c r="I2" s="164"/>
      <c r="J2" s="164"/>
      <c r="K2" s="164"/>
      <c r="L2" s="164"/>
      <c r="M2" s="164"/>
      <c r="N2" s="164"/>
      <c r="O2" s="2"/>
    </row>
    <row r="3" spans="1:15" x14ac:dyDescent="0.2">
      <c r="A3" s="8"/>
      <c r="B3" s="9"/>
      <c r="C3" s="10"/>
      <c r="D3" s="10"/>
      <c r="E3" s="10"/>
      <c r="F3" s="10"/>
      <c r="G3" s="10"/>
      <c r="H3" s="10"/>
      <c r="I3" s="10"/>
      <c r="J3" s="10"/>
      <c r="K3" s="10"/>
      <c r="L3" s="10"/>
      <c r="M3" s="10"/>
      <c r="N3" s="10"/>
      <c r="O3" s="11"/>
    </row>
    <row r="4" spans="1:15" x14ac:dyDescent="0.2">
      <c r="A4" s="8"/>
      <c r="B4" s="178" t="s">
        <v>191</v>
      </c>
      <c r="C4" s="179"/>
      <c r="D4" s="179"/>
      <c r="E4" s="179"/>
      <c r="F4" s="179"/>
      <c r="G4" s="179"/>
      <c r="H4" s="179"/>
      <c r="I4" s="179"/>
      <c r="J4" s="179"/>
      <c r="K4" s="179"/>
      <c r="L4" s="179"/>
      <c r="M4" s="179"/>
      <c r="N4" s="179"/>
      <c r="O4" s="11"/>
    </row>
    <row r="5" spans="1:15" x14ac:dyDescent="0.2">
      <c r="A5" s="8"/>
      <c r="B5" s="179"/>
      <c r="C5" s="179"/>
      <c r="D5" s="179"/>
      <c r="E5" s="179"/>
      <c r="F5" s="179"/>
      <c r="G5" s="179"/>
      <c r="H5" s="179"/>
      <c r="I5" s="179"/>
      <c r="J5" s="179"/>
      <c r="K5" s="179"/>
      <c r="L5" s="179"/>
      <c r="M5" s="179"/>
      <c r="N5" s="179"/>
      <c r="O5" s="11"/>
    </row>
    <row r="6" spans="1:15" x14ac:dyDescent="0.2">
      <c r="A6" s="8"/>
      <c r="B6" s="179"/>
      <c r="C6" s="179"/>
      <c r="D6" s="179"/>
      <c r="E6" s="179"/>
      <c r="F6" s="179"/>
      <c r="G6" s="179"/>
      <c r="H6" s="179"/>
      <c r="I6" s="179"/>
      <c r="J6" s="179"/>
      <c r="K6" s="179"/>
      <c r="L6" s="179"/>
      <c r="M6" s="179"/>
      <c r="N6" s="179"/>
      <c r="O6" s="11"/>
    </row>
    <row r="7" spans="1:15" x14ac:dyDescent="0.2">
      <c r="A7" s="8"/>
      <c r="B7" s="179"/>
      <c r="C7" s="179"/>
      <c r="D7" s="179"/>
      <c r="E7" s="179"/>
      <c r="F7" s="179"/>
      <c r="G7" s="179"/>
      <c r="H7" s="179"/>
      <c r="I7" s="179"/>
      <c r="J7" s="179"/>
      <c r="K7" s="179"/>
      <c r="L7" s="179"/>
      <c r="M7" s="179"/>
      <c r="N7" s="179"/>
      <c r="O7" s="11"/>
    </row>
    <row r="8" spans="1:15" x14ac:dyDescent="0.2">
      <c r="A8" s="8"/>
      <c r="B8" s="179"/>
      <c r="C8" s="179"/>
      <c r="D8" s="179"/>
      <c r="E8" s="179"/>
      <c r="F8" s="179"/>
      <c r="G8" s="179"/>
      <c r="H8" s="179"/>
      <c r="I8" s="179"/>
      <c r="J8" s="179"/>
      <c r="K8" s="179"/>
      <c r="L8" s="179"/>
      <c r="M8" s="179"/>
      <c r="N8" s="179"/>
      <c r="O8" s="11"/>
    </row>
    <row r="9" spans="1:15" x14ac:dyDescent="0.2">
      <c r="A9" s="8"/>
      <c r="B9" s="9"/>
      <c r="C9" s="10"/>
      <c r="D9" s="10"/>
      <c r="E9" s="10"/>
      <c r="F9" s="10"/>
      <c r="G9" s="10"/>
      <c r="H9" s="10"/>
      <c r="I9" s="10"/>
      <c r="J9" s="10"/>
      <c r="K9" s="10"/>
      <c r="L9" s="10"/>
      <c r="M9" s="10"/>
      <c r="N9" s="10"/>
      <c r="O9" s="11"/>
    </row>
    <row r="10" spans="1:15" x14ac:dyDescent="0.2">
      <c r="A10" s="8"/>
      <c r="B10" s="12" t="s">
        <v>1</v>
      </c>
      <c r="C10" s="10"/>
      <c r="D10" s="13" t="s">
        <v>0</v>
      </c>
      <c r="E10" s="10"/>
      <c r="F10" s="10"/>
      <c r="G10" s="10"/>
      <c r="H10" s="12" t="s">
        <v>1</v>
      </c>
      <c r="I10" s="10"/>
      <c r="J10" s="13" t="s">
        <v>0</v>
      </c>
      <c r="K10" s="10"/>
      <c r="L10" s="10"/>
      <c r="M10" s="10"/>
      <c r="N10" s="10"/>
      <c r="O10" s="11"/>
    </row>
    <row r="11" spans="1:15" x14ac:dyDescent="0.2">
      <c r="A11" s="8"/>
      <c r="B11" s="10" t="s">
        <v>16</v>
      </c>
      <c r="C11" s="10"/>
      <c r="D11" s="14">
        <v>10000</v>
      </c>
      <c r="E11" s="10"/>
      <c r="F11" s="10"/>
      <c r="G11" s="10"/>
      <c r="H11" s="10" t="s">
        <v>34</v>
      </c>
      <c r="I11" s="10"/>
      <c r="J11" s="16">
        <v>0.01</v>
      </c>
      <c r="K11" s="10"/>
      <c r="L11" s="10"/>
      <c r="M11" s="10"/>
      <c r="N11" s="10"/>
      <c r="O11" s="11"/>
    </row>
    <row r="12" spans="1:15" x14ac:dyDescent="0.2">
      <c r="A12" s="8"/>
      <c r="B12" s="10" t="s">
        <v>17</v>
      </c>
      <c r="C12" s="10"/>
      <c r="D12" s="63">
        <v>24000</v>
      </c>
      <c r="E12" s="10"/>
      <c r="F12" s="10"/>
      <c r="G12" s="10"/>
      <c r="H12" s="10" t="s">
        <v>35</v>
      </c>
      <c r="I12" s="10"/>
      <c r="J12" s="10"/>
      <c r="K12" s="10"/>
      <c r="L12" s="10"/>
      <c r="M12" s="10"/>
      <c r="N12" s="10"/>
      <c r="O12" s="11"/>
    </row>
    <row r="13" spans="1:15" x14ac:dyDescent="0.2">
      <c r="A13" s="8"/>
      <c r="B13" s="10" t="s">
        <v>33</v>
      </c>
      <c r="C13" s="10"/>
      <c r="D13" s="16">
        <v>0.75</v>
      </c>
      <c r="E13" s="10"/>
      <c r="F13" s="10"/>
      <c r="G13" s="10"/>
      <c r="H13" s="10" t="s">
        <v>36</v>
      </c>
      <c r="I13" s="10"/>
      <c r="J13" s="16">
        <v>0.12</v>
      </c>
      <c r="K13" s="10"/>
      <c r="L13" s="10"/>
      <c r="M13" s="10"/>
      <c r="N13" s="10"/>
      <c r="O13" s="11"/>
    </row>
    <row r="14" spans="1:15" x14ac:dyDescent="0.2">
      <c r="A14" s="8"/>
      <c r="B14" s="10" t="s">
        <v>24</v>
      </c>
      <c r="C14" s="10"/>
      <c r="D14" s="45">
        <f>D12*D13</f>
        <v>18000</v>
      </c>
      <c r="E14" s="10"/>
      <c r="F14" s="10"/>
      <c r="G14" s="10"/>
      <c r="H14" s="10" t="s">
        <v>37</v>
      </c>
      <c r="I14" s="10"/>
      <c r="J14" s="10"/>
      <c r="K14" s="10"/>
      <c r="L14" s="10"/>
      <c r="M14" s="10"/>
      <c r="N14" s="10"/>
      <c r="O14" s="11"/>
    </row>
    <row r="15" spans="1:15" x14ac:dyDescent="0.2">
      <c r="A15" s="8"/>
      <c r="B15" s="10" t="s">
        <v>123</v>
      </c>
      <c r="C15" s="10"/>
      <c r="D15" s="18">
        <v>8.1999999999999993</v>
      </c>
      <c r="E15" s="10"/>
      <c r="F15" s="10"/>
      <c r="G15" s="10"/>
      <c r="H15" s="10" t="s">
        <v>39</v>
      </c>
      <c r="I15" s="10"/>
      <c r="J15" s="16">
        <v>0.1</v>
      </c>
      <c r="K15" s="10"/>
      <c r="L15" s="10"/>
      <c r="M15" s="10"/>
      <c r="N15" s="10"/>
      <c r="O15" s="11"/>
    </row>
    <row r="16" spans="1:15" x14ac:dyDescent="0.2">
      <c r="A16" s="8"/>
      <c r="B16" s="10" t="s">
        <v>124</v>
      </c>
      <c r="C16" s="10"/>
      <c r="D16" s="18">
        <v>9.1999999999999993</v>
      </c>
      <c r="E16" s="10"/>
      <c r="F16" s="10"/>
      <c r="G16" s="10"/>
      <c r="H16" s="10"/>
      <c r="I16" s="10"/>
      <c r="J16" s="10"/>
      <c r="K16" s="10"/>
      <c r="L16" s="10"/>
      <c r="M16" s="10"/>
      <c r="N16" s="10"/>
      <c r="O16" s="11"/>
    </row>
    <row r="17" spans="1:15" x14ac:dyDescent="0.2">
      <c r="A17" s="8"/>
      <c r="B17" s="10"/>
      <c r="C17" s="10"/>
      <c r="D17" s="10"/>
      <c r="E17" s="10"/>
      <c r="F17" s="10"/>
      <c r="G17" s="10"/>
      <c r="H17" s="10"/>
      <c r="I17" s="10"/>
      <c r="J17" s="10"/>
      <c r="K17" s="10"/>
      <c r="L17" s="10"/>
      <c r="M17" s="10"/>
      <c r="N17" s="10"/>
      <c r="O17" s="11"/>
    </row>
    <row r="18" spans="1:15" x14ac:dyDescent="0.2">
      <c r="A18" s="8"/>
      <c r="B18" s="28" t="s">
        <v>38</v>
      </c>
      <c r="C18" s="10"/>
      <c r="D18" s="10"/>
      <c r="E18" s="10"/>
      <c r="F18" s="10"/>
      <c r="G18" s="10"/>
      <c r="H18" s="10"/>
      <c r="I18" s="10"/>
      <c r="J18" s="10"/>
      <c r="K18" s="10"/>
      <c r="L18" s="10"/>
      <c r="M18" s="10"/>
      <c r="N18" s="10"/>
      <c r="O18" s="11"/>
    </row>
    <row r="19" spans="1:15" x14ac:dyDescent="0.2">
      <c r="A19" s="8"/>
      <c r="B19" s="10"/>
      <c r="C19" s="10"/>
      <c r="D19" s="10"/>
      <c r="E19" s="10"/>
      <c r="F19" s="10"/>
      <c r="G19" s="10"/>
      <c r="H19" s="10"/>
      <c r="I19" s="10"/>
      <c r="J19" s="20" t="s">
        <v>32</v>
      </c>
      <c r="K19" s="10"/>
      <c r="L19" s="20" t="s">
        <v>29</v>
      </c>
      <c r="M19" s="10"/>
      <c r="N19" s="20" t="s">
        <v>29</v>
      </c>
      <c r="O19" s="11"/>
    </row>
    <row r="20" spans="1:15" x14ac:dyDescent="0.2">
      <c r="A20" s="8"/>
      <c r="B20" s="29" t="s">
        <v>15</v>
      </c>
      <c r="C20" s="10"/>
      <c r="D20" s="13" t="s">
        <v>25</v>
      </c>
      <c r="E20" s="10"/>
      <c r="F20" s="13" t="s">
        <v>26</v>
      </c>
      <c r="G20" s="10"/>
      <c r="H20" s="13" t="s">
        <v>27</v>
      </c>
      <c r="I20" s="10"/>
      <c r="J20" s="13" t="s">
        <v>28</v>
      </c>
      <c r="K20" s="10"/>
      <c r="L20" s="13" t="s">
        <v>30</v>
      </c>
      <c r="M20" s="10"/>
      <c r="N20" s="13" t="s">
        <v>31</v>
      </c>
      <c r="O20" s="11"/>
    </row>
    <row r="21" spans="1:15" x14ac:dyDescent="0.2">
      <c r="A21" s="8"/>
      <c r="B21" s="30">
        <v>1</v>
      </c>
      <c r="C21" s="10"/>
      <c r="D21" s="31">
        <f>D11</f>
        <v>10000</v>
      </c>
      <c r="E21" s="10"/>
      <c r="F21" s="36">
        <f t="shared" ref="F21:F28" si="0">D21*($D$12*$D$15)/($D$16)</f>
        <v>213913043.47826087</v>
      </c>
      <c r="G21" s="37"/>
      <c r="H21" s="36">
        <f t="shared" ref="H21:H28" si="1">D21*$D$14</f>
        <v>180000000</v>
      </c>
      <c r="I21" s="37"/>
      <c r="J21" s="37">
        <f t="shared" ref="J21:J28" si="2">F21-H21</f>
        <v>33913043.478260875</v>
      </c>
      <c r="K21" s="10"/>
      <c r="L21" s="32">
        <f t="shared" ref="L21:L28" si="3">1/(1+$J$15)^(B21)</f>
        <v>0.90909090909090906</v>
      </c>
      <c r="M21" s="10"/>
      <c r="N21" s="37">
        <f t="shared" ref="N21:N28" si="4">J21*L21</f>
        <v>30830039.525691703</v>
      </c>
      <c r="O21" s="11"/>
    </row>
    <row r="22" spans="1:15" x14ac:dyDescent="0.2">
      <c r="A22" s="8"/>
      <c r="B22" s="30">
        <f t="shared" ref="B22:B28" si="5">B21+1</f>
        <v>2</v>
      </c>
      <c r="C22" s="10"/>
      <c r="D22" s="33">
        <f t="shared" ref="D22:D28" si="6">D21*(1+$J$13)</f>
        <v>11200.000000000002</v>
      </c>
      <c r="E22" s="10"/>
      <c r="F22" s="36">
        <f t="shared" si="0"/>
        <v>239582608.69565219</v>
      </c>
      <c r="G22" s="37"/>
      <c r="H22" s="36">
        <f t="shared" si="1"/>
        <v>201600000.00000003</v>
      </c>
      <c r="I22" s="37"/>
      <c r="J22" s="37">
        <f t="shared" si="2"/>
        <v>37982608.695652157</v>
      </c>
      <c r="K22" s="10"/>
      <c r="L22" s="32">
        <f t="shared" si="3"/>
        <v>0.82644628099173545</v>
      </c>
      <c r="M22" s="10"/>
      <c r="N22" s="37">
        <f t="shared" si="4"/>
        <v>31390585.698886078</v>
      </c>
      <c r="O22" s="11"/>
    </row>
    <row r="23" spans="1:15" x14ac:dyDescent="0.2">
      <c r="A23" s="8"/>
      <c r="B23" s="30">
        <f t="shared" si="5"/>
        <v>3</v>
      </c>
      <c r="C23" s="10"/>
      <c r="D23" s="33">
        <f t="shared" si="6"/>
        <v>12544.000000000004</v>
      </c>
      <c r="E23" s="10"/>
      <c r="F23" s="36">
        <f t="shared" si="0"/>
        <v>268332521.7391305</v>
      </c>
      <c r="G23" s="37"/>
      <c r="H23" s="36">
        <f t="shared" si="1"/>
        <v>225792000.00000006</v>
      </c>
      <c r="I23" s="37"/>
      <c r="J23" s="37">
        <f t="shared" si="2"/>
        <v>42540521.739130437</v>
      </c>
      <c r="K23" s="10"/>
      <c r="L23" s="32">
        <f t="shared" si="3"/>
        <v>0.75131480090157754</v>
      </c>
      <c r="M23" s="10"/>
      <c r="N23" s="37">
        <f t="shared" si="4"/>
        <v>31961323.620684016</v>
      </c>
      <c r="O23" s="11"/>
    </row>
    <row r="24" spans="1:15" x14ac:dyDescent="0.2">
      <c r="A24" s="8"/>
      <c r="B24" s="30">
        <f t="shared" si="5"/>
        <v>4</v>
      </c>
      <c r="C24" s="10"/>
      <c r="D24" s="33">
        <f t="shared" si="6"/>
        <v>14049.280000000006</v>
      </c>
      <c r="E24" s="10"/>
      <c r="F24" s="36">
        <f t="shared" si="0"/>
        <v>300532424.34782624</v>
      </c>
      <c r="G24" s="37"/>
      <c r="H24" s="36">
        <f t="shared" si="1"/>
        <v>252887040.00000012</v>
      </c>
      <c r="I24" s="37"/>
      <c r="J24" s="37">
        <f t="shared" si="2"/>
        <v>47645384.347826123</v>
      </c>
      <c r="K24" s="10"/>
      <c r="L24" s="32">
        <f t="shared" si="3"/>
        <v>0.68301345536507052</v>
      </c>
      <c r="M24" s="10"/>
      <c r="N24" s="37">
        <f t="shared" si="4"/>
        <v>32542438.595605567</v>
      </c>
      <c r="O24" s="11"/>
    </row>
    <row r="25" spans="1:15" x14ac:dyDescent="0.2">
      <c r="A25" s="8"/>
      <c r="B25" s="30">
        <f t="shared" si="5"/>
        <v>5</v>
      </c>
      <c r="C25" s="10"/>
      <c r="D25" s="33">
        <f t="shared" si="6"/>
        <v>15735.193600000008</v>
      </c>
      <c r="E25" s="10"/>
      <c r="F25" s="36">
        <f t="shared" si="0"/>
        <v>336596315.26956534</v>
      </c>
      <c r="G25" s="37"/>
      <c r="H25" s="36">
        <f t="shared" si="1"/>
        <v>283233484.80000013</v>
      </c>
      <c r="I25" s="37"/>
      <c r="J25" s="37">
        <f t="shared" si="2"/>
        <v>53362830.469565213</v>
      </c>
      <c r="K25" s="10"/>
      <c r="L25" s="32">
        <f t="shared" si="3"/>
        <v>0.62092132305915493</v>
      </c>
      <c r="M25" s="10"/>
      <c r="N25" s="37">
        <f t="shared" si="4"/>
        <v>33134119.297343817</v>
      </c>
      <c r="O25" s="11"/>
    </row>
    <row r="26" spans="1:15" x14ac:dyDescent="0.2">
      <c r="A26" s="8"/>
      <c r="B26" s="30">
        <f t="shared" si="5"/>
        <v>6</v>
      </c>
      <c r="C26" s="10"/>
      <c r="D26" s="33">
        <f t="shared" si="6"/>
        <v>17623.41683200001</v>
      </c>
      <c r="E26" s="10"/>
      <c r="F26" s="36">
        <f t="shared" si="0"/>
        <v>376987873.10191321</v>
      </c>
      <c r="G26" s="37"/>
      <c r="H26" s="36">
        <f t="shared" si="1"/>
        <v>317221502.97600019</v>
      </c>
      <c r="I26" s="37"/>
      <c r="J26" s="37">
        <f t="shared" si="2"/>
        <v>59766370.125913024</v>
      </c>
      <c r="K26" s="10"/>
      <c r="L26" s="32">
        <f t="shared" si="3"/>
        <v>0.56447393005377722</v>
      </c>
      <c r="M26" s="10"/>
      <c r="N26" s="37">
        <f t="shared" si="4"/>
        <v>33736557.83002279</v>
      </c>
      <c r="O26" s="11"/>
    </row>
    <row r="27" spans="1:15" x14ac:dyDescent="0.2">
      <c r="A27" s="8"/>
      <c r="B27" s="30">
        <f t="shared" si="5"/>
        <v>7</v>
      </c>
      <c r="C27" s="10"/>
      <c r="D27" s="33">
        <f t="shared" si="6"/>
        <v>19738.226851840012</v>
      </c>
      <c r="E27" s="10"/>
      <c r="F27" s="36">
        <f t="shared" si="0"/>
        <v>422226417.87414283</v>
      </c>
      <c r="G27" s="37"/>
      <c r="H27" s="36">
        <f t="shared" si="1"/>
        <v>355288083.33312023</v>
      </c>
      <c r="I27" s="37"/>
      <c r="J27" s="37">
        <f t="shared" si="2"/>
        <v>66938334.541022599</v>
      </c>
      <c r="K27" s="10"/>
      <c r="L27" s="32">
        <f t="shared" si="3"/>
        <v>0.51315811823070645</v>
      </c>
      <c r="M27" s="10"/>
      <c r="N27" s="37">
        <f t="shared" si="4"/>
        <v>34349949.790568657</v>
      </c>
      <c r="O27" s="11"/>
    </row>
    <row r="28" spans="1:15" x14ac:dyDescent="0.2">
      <c r="A28" s="8"/>
      <c r="B28" s="30">
        <f t="shared" si="5"/>
        <v>8</v>
      </c>
      <c r="C28" s="10"/>
      <c r="D28" s="33">
        <f t="shared" si="6"/>
        <v>22106.814074060814</v>
      </c>
      <c r="E28" s="10"/>
      <c r="F28" s="36">
        <f t="shared" si="0"/>
        <v>472893588.01903999</v>
      </c>
      <c r="G28" s="37"/>
      <c r="H28" s="36">
        <f t="shared" si="1"/>
        <v>397922653.33309466</v>
      </c>
      <c r="I28" s="37"/>
      <c r="J28" s="37">
        <f t="shared" si="2"/>
        <v>74970934.685945332</v>
      </c>
      <c r="K28" s="10"/>
      <c r="L28" s="32">
        <f t="shared" si="3"/>
        <v>0.46650738020973315</v>
      </c>
      <c r="M28" s="10"/>
      <c r="N28" s="38">
        <f t="shared" si="4"/>
        <v>34974494.332215369</v>
      </c>
      <c r="O28" s="11"/>
    </row>
    <row r="29" spans="1:15" x14ac:dyDescent="0.2">
      <c r="A29" s="8"/>
      <c r="B29" s="34" t="s">
        <v>41</v>
      </c>
      <c r="C29" s="10"/>
      <c r="D29" s="10"/>
      <c r="E29" s="10"/>
      <c r="F29" s="10"/>
      <c r="G29" s="10"/>
      <c r="H29" s="10"/>
      <c r="I29" s="10"/>
      <c r="J29" s="10"/>
      <c r="K29" s="10"/>
      <c r="L29" s="10"/>
      <c r="M29" s="10"/>
      <c r="N29" s="68">
        <f>SUM(N21:N28)</f>
        <v>262919508.69101799</v>
      </c>
      <c r="O29" s="11"/>
    </row>
    <row r="30" spans="1:15" x14ac:dyDescent="0.2">
      <c r="A30" s="8"/>
      <c r="B30" s="10"/>
      <c r="C30" s="10"/>
      <c r="D30" s="10"/>
      <c r="E30" s="10"/>
      <c r="F30" s="10"/>
      <c r="G30" s="10"/>
      <c r="H30" s="10"/>
      <c r="I30" s="10"/>
      <c r="J30" s="10"/>
      <c r="K30" s="10"/>
      <c r="L30" s="10"/>
      <c r="M30" s="10"/>
      <c r="N30" s="10"/>
      <c r="O30" s="11"/>
    </row>
    <row r="31" spans="1:15" x14ac:dyDescent="0.2">
      <c r="A31" s="8"/>
      <c r="B31" s="28" t="s">
        <v>40</v>
      </c>
      <c r="C31" s="10"/>
      <c r="D31" s="10"/>
      <c r="E31" s="10"/>
      <c r="F31" s="10"/>
      <c r="G31" s="10"/>
      <c r="H31" s="10"/>
      <c r="I31" s="10"/>
      <c r="J31" s="10"/>
      <c r="K31" s="10"/>
      <c r="L31" s="10"/>
      <c r="M31" s="10"/>
      <c r="N31" s="10"/>
      <c r="O31" s="11"/>
    </row>
    <row r="32" spans="1:15" x14ac:dyDescent="0.2">
      <c r="A32" s="8"/>
      <c r="B32" s="10"/>
      <c r="C32" s="10"/>
      <c r="D32" s="10"/>
      <c r="E32" s="10"/>
      <c r="F32" s="10"/>
      <c r="G32" s="10"/>
      <c r="H32" s="10"/>
      <c r="I32" s="10"/>
      <c r="J32" s="20" t="s">
        <v>32</v>
      </c>
      <c r="K32" s="10"/>
      <c r="L32" s="20" t="s">
        <v>29</v>
      </c>
      <c r="M32" s="10"/>
      <c r="N32" s="20" t="s">
        <v>29</v>
      </c>
      <c r="O32" s="11"/>
    </row>
    <row r="33" spans="1:15" x14ac:dyDescent="0.2">
      <c r="A33" s="8"/>
      <c r="B33" s="29" t="s">
        <v>15</v>
      </c>
      <c r="C33" s="10"/>
      <c r="D33" s="13" t="s">
        <v>25</v>
      </c>
      <c r="E33" s="10"/>
      <c r="F33" s="13" t="s">
        <v>26</v>
      </c>
      <c r="G33" s="10"/>
      <c r="H33" s="13" t="s">
        <v>27</v>
      </c>
      <c r="I33" s="10"/>
      <c r="J33" s="13" t="s">
        <v>28</v>
      </c>
      <c r="K33" s="10"/>
      <c r="L33" s="13" t="s">
        <v>30</v>
      </c>
      <c r="M33" s="10"/>
      <c r="N33" s="13" t="s">
        <v>31</v>
      </c>
      <c r="O33" s="11"/>
    </row>
    <row r="34" spans="1:15" x14ac:dyDescent="0.2">
      <c r="A34" s="8"/>
      <c r="B34" s="30">
        <v>1</v>
      </c>
      <c r="C34" s="10"/>
      <c r="D34" s="35">
        <v>9000</v>
      </c>
      <c r="E34" s="10"/>
      <c r="F34" s="36">
        <f t="shared" ref="F34:F41" si="7">D34*($D$12)</f>
        <v>216000000</v>
      </c>
      <c r="G34" s="37"/>
      <c r="H34" s="36">
        <f t="shared" ref="H34:H41" si="8">D34*$D$14</f>
        <v>162000000</v>
      </c>
      <c r="I34" s="37"/>
      <c r="J34" s="37">
        <f t="shared" ref="J34:J41" si="9">F34-H34</f>
        <v>54000000</v>
      </c>
      <c r="K34" s="10"/>
      <c r="L34" s="32">
        <f t="shared" ref="L34:L41" si="10">1/(1+$J$15)^(B34)</f>
        <v>0.90909090909090906</v>
      </c>
      <c r="M34" s="10"/>
      <c r="N34" s="37">
        <f t="shared" ref="N34:N41" si="11">J34*L34</f>
        <v>49090909.090909086</v>
      </c>
      <c r="O34" s="11"/>
    </row>
    <row r="35" spans="1:15" x14ac:dyDescent="0.2">
      <c r="A35" s="8"/>
      <c r="B35" s="30">
        <f t="shared" ref="B35:B41" si="12">B34+1</f>
        <v>2</v>
      </c>
      <c r="C35" s="10"/>
      <c r="D35" s="33">
        <f t="shared" ref="D35:D41" si="13">D34*(1+$J$11)</f>
        <v>9090</v>
      </c>
      <c r="E35" s="10"/>
      <c r="F35" s="36">
        <f t="shared" si="7"/>
        <v>218160000</v>
      </c>
      <c r="G35" s="37"/>
      <c r="H35" s="36">
        <f t="shared" si="8"/>
        <v>163620000</v>
      </c>
      <c r="I35" s="37"/>
      <c r="J35" s="37">
        <f t="shared" si="9"/>
        <v>54540000</v>
      </c>
      <c r="K35" s="10"/>
      <c r="L35" s="32">
        <f t="shared" si="10"/>
        <v>0.82644628099173545</v>
      </c>
      <c r="M35" s="10"/>
      <c r="N35" s="37">
        <f t="shared" si="11"/>
        <v>45074380.165289253</v>
      </c>
      <c r="O35" s="11"/>
    </row>
    <row r="36" spans="1:15" x14ac:dyDescent="0.2">
      <c r="A36" s="8"/>
      <c r="B36" s="30">
        <f t="shared" si="12"/>
        <v>3</v>
      </c>
      <c r="C36" s="10"/>
      <c r="D36" s="33">
        <f t="shared" si="13"/>
        <v>9180.9</v>
      </c>
      <c r="E36" s="10"/>
      <c r="F36" s="36">
        <f t="shared" si="7"/>
        <v>220341600</v>
      </c>
      <c r="G36" s="37"/>
      <c r="H36" s="36">
        <f t="shared" si="8"/>
        <v>165256200</v>
      </c>
      <c r="I36" s="37"/>
      <c r="J36" s="37">
        <f t="shared" si="9"/>
        <v>55085400</v>
      </c>
      <c r="K36" s="10"/>
      <c r="L36" s="32">
        <f t="shared" si="10"/>
        <v>0.75131480090157754</v>
      </c>
      <c r="M36" s="10"/>
      <c r="N36" s="37">
        <f t="shared" si="11"/>
        <v>41386476.333583757</v>
      </c>
      <c r="O36" s="11"/>
    </row>
    <row r="37" spans="1:15" x14ac:dyDescent="0.2">
      <c r="A37" s="8"/>
      <c r="B37" s="30">
        <f t="shared" si="12"/>
        <v>4</v>
      </c>
      <c r="C37" s="10"/>
      <c r="D37" s="33">
        <f t="shared" si="13"/>
        <v>9272.7089999999989</v>
      </c>
      <c r="E37" s="10"/>
      <c r="F37" s="36">
        <f t="shared" si="7"/>
        <v>222545015.99999997</v>
      </c>
      <c r="G37" s="37"/>
      <c r="H37" s="36">
        <f t="shared" si="8"/>
        <v>166908761.99999997</v>
      </c>
      <c r="I37" s="37"/>
      <c r="J37" s="37">
        <f t="shared" si="9"/>
        <v>55636254</v>
      </c>
      <c r="K37" s="10"/>
      <c r="L37" s="32">
        <f t="shared" si="10"/>
        <v>0.68301345536507052</v>
      </c>
      <c r="M37" s="10"/>
      <c r="N37" s="37">
        <f t="shared" si="11"/>
        <v>38000310.088108726</v>
      </c>
      <c r="O37" s="11"/>
    </row>
    <row r="38" spans="1:15" x14ac:dyDescent="0.2">
      <c r="A38" s="8"/>
      <c r="B38" s="30">
        <f t="shared" si="12"/>
        <v>5</v>
      </c>
      <c r="C38" s="10"/>
      <c r="D38" s="33">
        <f t="shared" si="13"/>
        <v>9365.4360899999992</v>
      </c>
      <c r="E38" s="10"/>
      <c r="F38" s="36">
        <f t="shared" si="7"/>
        <v>224770466.16</v>
      </c>
      <c r="G38" s="37"/>
      <c r="H38" s="36">
        <f t="shared" si="8"/>
        <v>168577849.61999997</v>
      </c>
      <c r="I38" s="37"/>
      <c r="J38" s="37">
        <f t="shared" si="9"/>
        <v>56192616.540000021</v>
      </c>
      <c r="K38" s="10"/>
      <c r="L38" s="32">
        <f t="shared" si="10"/>
        <v>0.62092132305915493</v>
      </c>
      <c r="M38" s="10"/>
      <c r="N38" s="37">
        <f t="shared" si="11"/>
        <v>34891193.808172569</v>
      </c>
      <c r="O38" s="11"/>
    </row>
    <row r="39" spans="1:15" x14ac:dyDescent="0.2">
      <c r="A39" s="8"/>
      <c r="B39" s="30">
        <f t="shared" si="12"/>
        <v>6</v>
      </c>
      <c r="C39" s="10"/>
      <c r="D39" s="33">
        <f t="shared" si="13"/>
        <v>9459.0904508999993</v>
      </c>
      <c r="E39" s="10"/>
      <c r="F39" s="36">
        <f t="shared" si="7"/>
        <v>227018170.82159999</v>
      </c>
      <c r="G39" s="37"/>
      <c r="H39" s="36">
        <f t="shared" si="8"/>
        <v>170263628.1162</v>
      </c>
      <c r="I39" s="37"/>
      <c r="J39" s="37">
        <f t="shared" si="9"/>
        <v>56754542.70539999</v>
      </c>
      <c r="K39" s="10"/>
      <c r="L39" s="32">
        <f t="shared" si="10"/>
        <v>0.56447393005377722</v>
      </c>
      <c r="M39" s="10"/>
      <c r="N39" s="37">
        <f t="shared" si="11"/>
        <v>32036459.769322067</v>
      </c>
      <c r="O39" s="11"/>
    </row>
    <row r="40" spans="1:15" x14ac:dyDescent="0.2">
      <c r="A40" s="8"/>
      <c r="B40" s="30">
        <f t="shared" si="12"/>
        <v>7</v>
      </c>
      <c r="C40" s="10"/>
      <c r="D40" s="33">
        <f t="shared" si="13"/>
        <v>9553.6813554089986</v>
      </c>
      <c r="E40" s="10"/>
      <c r="F40" s="36">
        <f t="shared" si="7"/>
        <v>229288352.52981597</v>
      </c>
      <c r="G40" s="37"/>
      <c r="H40" s="36">
        <f t="shared" si="8"/>
        <v>171966264.39736196</v>
      </c>
      <c r="I40" s="37"/>
      <c r="J40" s="37">
        <f t="shared" si="9"/>
        <v>57322088.132454008</v>
      </c>
      <c r="K40" s="10"/>
      <c r="L40" s="32">
        <f t="shared" si="10"/>
        <v>0.51315811823070645</v>
      </c>
      <c r="M40" s="10"/>
      <c r="N40" s="37">
        <f t="shared" si="11"/>
        <v>29415294.879104808</v>
      </c>
      <c r="O40" s="11"/>
    </row>
    <row r="41" spans="1:15" x14ac:dyDescent="0.2">
      <c r="A41" s="8"/>
      <c r="B41" s="30">
        <f t="shared" si="12"/>
        <v>8</v>
      </c>
      <c r="C41" s="10"/>
      <c r="D41" s="33">
        <f t="shared" si="13"/>
        <v>9649.2181689630888</v>
      </c>
      <c r="E41" s="10"/>
      <c r="F41" s="36">
        <f t="shared" si="7"/>
        <v>231581236.05511412</v>
      </c>
      <c r="G41" s="37"/>
      <c r="H41" s="36">
        <f t="shared" si="8"/>
        <v>173685927.04133561</v>
      </c>
      <c r="I41" s="37"/>
      <c r="J41" s="37">
        <f t="shared" si="9"/>
        <v>57895309.013778508</v>
      </c>
      <c r="K41" s="10"/>
      <c r="L41" s="32">
        <f t="shared" si="10"/>
        <v>0.46650738020973315</v>
      </c>
      <c r="M41" s="10"/>
      <c r="N41" s="38">
        <f t="shared" si="11"/>
        <v>27008588.93445076</v>
      </c>
      <c r="O41" s="11"/>
    </row>
    <row r="42" spans="1:15" x14ac:dyDescent="0.2">
      <c r="A42" s="8"/>
      <c r="B42" s="34" t="s">
        <v>41</v>
      </c>
      <c r="C42" s="10"/>
      <c r="D42" s="10"/>
      <c r="E42" s="10"/>
      <c r="F42" s="10"/>
      <c r="G42" s="10"/>
      <c r="H42" s="10"/>
      <c r="I42" s="10"/>
      <c r="J42" s="10"/>
      <c r="K42" s="10"/>
      <c r="L42" s="10"/>
      <c r="M42" s="10"/>
      <c r="N42" s="68">
        <f>SUM(N34:N41)</f>
        <v>296903613.06894106</v>
      </c>
      <c r="O42" s="11"/>
    </row>
    <row r="43" spans="1:15" x14ac:dyDescent="0.2">
      <c r="A43" s="8"/>
      <c r="B43" s="10"/>
      <c r="C43" s="10"/>
      <c r="D43" s="10"/>
      <c r="E43" s="10"/>
      <c r="F43" s="10"/>
      <c r="G43" s="10"/>
      <c r="H43" s="10"/>
      <c r="I43" s="10"/>
      <c r="J43" s="10"/>
      <c r="K43" s="10"/>
      <c r="L43" s="10"/>
      <c r="M43" s="10"/>
      <c r="N43" s="10"/>
      <c r="O43" s="11"/>
    </row>
    <row r="44" spans="1:15" x14ac:dyDescent="0.2">
      <c r="A44" s="8"/>
      <c r="B44" s="176" t="s">
        <v>192</v>
      </c>
      <c r="C44" s="177"/>
      <c r="D44" s="177"/>
      <c r="E44" s="177"/>
      <c r="F44" s="177"/>
      <c r="G44" s="177"/>
      <c r="H44" s="177"/>
      <c r="I44" s="177"/>
      <c r="J44" s="177"/>
      <c r="K44" s="177"/>
      <c r="L44" s="177"/>
      <c r="M44" s="177"/>
      <c r="N44" s="177"/>
      <c r="O44" s="11"/>
    </row>
    <row r="45" spans="1:15" x14ac:dyDescent="0.2">
      <c r="A45" s="8"/>
      <c r="B45" s="177"/>
      <c r="C45" s="177"/>
      <c r="D45" s="177"/>
      <c r="E45" s="177"/>
      <c r="F45" s="177"/>
      <c r="G45" s="177"/>
      <c r="H45" s="177"/>
      <c r="I45" s="177"/>
      <c r="J45" s="177"/>
      <c r="K45" s="177"/>
      <c r="L45" s="177"/>
      <c r="M45" s="177"/>
      <c r="N45" s="177"/>
      <c r="O45" s="11"/>
    </row>
    <row r="46" spans="1:15" ht="13.5" thickBot="1" x14ac:dyDescent="0.25">
      <c r="A46" s="22"/>
      <c r="B46" s="23"/>
      <c r="C46" s="23"/>
      <c r="D46" s="23"/>
      <c r="E46" s="23"/>
      <c r="F46" s="23"/>
      <c r="G46" s="23"/>
      <c r="H46" s="23"/>
      <c r="I46" s="23"/>
      <c r="J46" s="23"/>
      <c r="K46" s="23"/>
      <c r="L46" s="23"/>
      <c r="M46" s="23"/>
      <c r="N46" s="23"/>
      <c r="O46" s="24"/>
    </row>
  </sheetData>
  <mergeCells count="3">
    <mergeCell ref="B2:N2"/>
    <mergeCell ref="B44:N45"/>
    <mergeCell ref="B4:N8"/>
  </mergeCells>
  <phoneticPr fontId="0" type="noConversion"/>
  <printOptions horizontalCentered="1"/>
  <pageMargins left="0.5" right="0.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workbookViewId="0"/>
  </sheetViews>
  <sheetFormatPr defaultRowHeight="12.75" x14ac:dyDescent="0.2"/>
  <cols>
    <col min="1" max="1" width="2.83203125" customWidth="1"/>
    <col min="2" max="2" width="56.83203125" customWidth="1"/>
    <col min="3" max="3" width="2.83203125" customWidth="1"/>
    <col min="4" max="4" width="16.83203125" customWidth="1"/>
    <col min="5" max="5" width="2.83203125" customWidth="1"/>
    <col min="6" max="6" width="16.83203125" customWidth="1"/>
    <col min="7" max="7" width="2.83203125" customWidth="1"/>
  </cols>
  <sheetData>
    <row r="1" spans="1:7" x14ac:dyDescent="0.2">
      <c r="A1" s="5"/>
      <c r="B1" s="6"/>
      <c r="C1" s="6"/>
      <c r="D1" s="6"/>
      <c r="E1" s="6"/>
      <c r="F1" s="6"/>
      <c r="G1" s="7"/>
    </row>
    <row r="2" spans="1:7" ht="18.75" x14ac:dyDescent="0.3">
      <c r="A2" s="1"/>
      <c r="B2" s="163" t="s">
        <v>178</v>
      </c>
      <c r="C2" s="163"/>
      <c r="D2" s="163"/>
      <c r="E2" s="164"/>
      <c r="F2" s="164"/>
      <c r="G2" s="2"/>
    </row>
    <row r="3" spans="1:7" x14ac:dyDescent="0.2">
      <c r="A3" s="8"/>
      <c r="B3" s="9"/>
      <c r="C3" s="10"/>
      <c r="D3" s="10"/>
      <c r="E3" s="10"/>
      <c r="F3" s="10"/>
      <c r="G3" s="11"/>
    </row>
    <row r="4" spans="1:7" ht="12.75" customHeight="1" x14ac:dyDescent="0.2">
      <c r="A4" s="8"/>
      <c r="B4" s="165" t="s">
        <v>148</v>
      </c>
      <c r="C4" s="165"/>
      <c r="D4" s="165"/>
      <c r="E4" s="165"/>
      <c r="F4" s="165"/>
      <c r="G4" s="11"/>
    </row>
    <row r="5" spans="1:7" x14ac:dyDescent="0.2">
      <c r="A5" s="8"/>
      <c r="B5" s="165"/>
      <c r="C5" s="165"/>
      <c r="D5" s="165"/>
      <c r="E5" s="165"/>
      <c r="F5" s="165"/>
      <c r="G5" s="11"/>
    </row>
    <row r="6" spans="1:7" x14ac:dyDescent="0.2">
      <c r="A6" s="8"/>
      <c r="B6" s="165"/>
      <c r="C6" s="165"/>
      <c r="D6" s="165"/>
      <c r="E6" s="165"/>
      <c r="F6" s="165"/>
      <c r="G6" s="11"/>
    </row>
    <row r="7" spans="1:7" x14ac:dyDescent="0.2">
      <c r="A7" s="8"/>
      <c r="B7" s="165"/>
      <c r="C7" s="165"/>
      <c r="D7" s="165"/>
      <c r="E7" s="165"/>
      <c r="F7" s="165"/>
      <c r="G7" s="11"/>
    </row>
    <row r="8" spans="1:7" x14ac:dyDescent="0.2">
      <c r="A8" s="8"/>
      <c r="B8" s="165"/>
      <c r="C8" s="165"/>
      <c r="D8" s="165"/>
      <c r="E8" s="165"/>
      <c r="F8" s="165"/>
      <c r="G8" s="11"/>
    </row>
    <row r="9" spans="1:7" x14ac:dyDescent="0.2">
      <c r="A9" s="8"/>
      <c r="B9" s="165"/>
      <c r="C9" s="165"/>
      <c r="D9" s="165"/>
      <c r="E9" s="165"/>
      <c r="F9" s="165"/>
      <c r="G9" s="11"/>
    </row>
    <row r="10" spans="1:7" x14ac:dyDescent="0.2">
      <c r="A10" s="8"/>
      <c r="B10" s="165"/>
      <c r="C10" s="165"/>
      <c r="D10" s="165"/>
      <c r="E10" s="165"/>
      <c r="F10" s="165"/>
      <c r="G10" s="11"/>
    </row>
    <row r="11" spans="1:7" x14ac:dyDescent="0.2">
      <c r="A11" s="8"/>
      <c r="B11" s="165"/>
      <c r="C11" s="165"/>
      <c r="D11" s="165"/>
      <c r="E11" s="165"/>
      <c r="F11" s="165"/>
      <c r="G11" s="11"/>
    </row>
    <row r="12" spans="1:7" x14ac:dyDescent="0.2">
      <c r="A12" s="8"/>
      <c r="B12" s="165"/>
      <c r="C12" s="165"/>
      <c r="D12" s="165"/>
      <c r="E12" s="165"/>
      <c r="F12" s="165"/>
      <c r="G12" s="11"/>
    </row>
    <row r="13" spans="1:7" x14ac:dyDescent="0.2">
      <c r="A13" s="8"/>
      <c r="B13" s="165"/>
      <c r="C13" s="165"/>
      <c r="D13" s="165"/>
      <c r="E13" s="165"/>
      <c r="F13" s="165"/>
      <c r="G13" s="11"/>
    </row>
    <row r="14" spans="1:7" x14ac:dyDescent="0.2">
      <c r="A14" s="8"/>
      <c r="B14" s="165"/>
      <c r="C14" s="165"/>
      <c r="D14" s="165"/>
      <c r="E14" s="165"/>
      <c r="F14" s="165"/>
      <c r="G14" s="11"/>
    </row>
    <row r="15" spans="1:7" x14ac:dyDescent="0.2">
      <c r="A15" s="8"/>
      <c r="B15" s="165"/>
      <c r="C15" s="165"/>
      <c r="D15" s="165"/>
      <c r="E15" s="165"/>
      <c r="F15" s="165"/>
      <c r="G15" s="11"/>
    </row>
    <row r="16" spans="1:7" x14ac:dyDescent="0.2">
      <c r="A16" s="8"/>
      <c r="B16" s="165"/>
      <c r="C16" s="165"/>
      <c r="D16" s="165"/>
      <c r="E16" s="165"/>
      <c r="F16" s="165"/>
      <c r="G16" s="11"/>
    </row>
    <row r="17" spans="1:7" x14ac:dyDescent="0.2">
      <c r="A17" s="8"/>
      <c r="B17" s="165"/>
      <c r="C17" s="165"/>
      <c r="D17" s="165"/>
      <c r="E17" s="165"/>
      <c r="F17" s="165"/>
      <c r="G17" s="11"/>
    </row>
    <row r="18" spans="1:7" x14ac:dyDescent="0.2">
      <c r="A18" s="8"/>
      <c r="B18" s="165"/>
      <c r="C18" s="165"/>
      <c r="D18" s="165"/>
      <c r="E18" s="165"/>
      <c r="F18" s="165"/>
      <c r="G18" s="11"/>
    </row>
    <row r="19" spans="1:7" x14ac:dyDescent="0.2">
      <c r="A19" s="8"/>
      <c r="B19" s="165"/>
      <c r="C19" s="165"/>
      <c r="D19" s="165"/>
      <c r="E19" s="165"/>
      <c r="F19" s="165"/>
      <c r="G19" s="11"/>
    </row>
    <row r="20" spans="1:7" x14ac:dyDescent="0.2">
      <c r="A20" s="8"/>
      <c r="B20" s="165"/>
      <c r="C20" s="165"/>
      <c r="D20" s="165"/>
      <c r="E20" s="165"/>
      <c r="F20" s="165"/>
      <c r="G20" s="11"/>
    </row>
    <row r="21" spans="1:7" x14ac:dyDescent="0.2">
      <c r="A21" s="8"/>
      <c r="B21" s="165"/>
      <c r="C21" s="165"/>
      <c r="D21" s="165"/>
      <c r="E21" s="165"/>
      <c r="F21" s="165"/>
      <c r="G21" s="11"/>
    </row>
    <row r="22" spans="1:7" x14ac:dyDescent="0.2">
      <c r="A22" s="8"/>
      <c r="B22" s="165"/>
      <c r="C22" s="165"/>
      <c r="D22" s="165"/>
      <c r="E22" s="165"/>
      <c r="F22" s="165"/>
      <c r="G22" s="11"/>
    </row>
    <row r="23" spans="1:7" x14ac:dyDescent="0.2">
      <c r="A23" s="8"/>
      <c r="B23" s="165"/>
      <c r="C23" s="165"/>
      <c r="D23" s="165"/>
      <c r="E23" s="165"/>
      <c r="F23" s="165"/>
      <c r="G23" s="11"/>
    </row>
    <row r="24" spans="1:7" x14ac:dyDescent="0.2">
      <c r="A24" s="8"/>
      <c r="B24" s="165"/>
      <c r="C24" s="165"/>
      <c r="D24" s="165"/>
      <c r="E24" s="165"/>
      <c r="F24" s="165"/>
      <c r="G24" s="11"/>
    </row>
    <row r="25" spans="1:7" x14ac:dyDescent="0.2">
      <c r="A25" s="8"/>
      <c r="B25" s="165"/>
      <c r="C25" s="165"/>
      <c r="D25" s="165"/>
      <c r="E25" s="165"/>
      <c r="F25" s="165"/>
      <c r="G25" s="11"/>
    </row>
    <row r="26" spans="1:7" x14ac:dyDescent="0.2">
      <c r="A26" s="8"/>
      <c r="B26" s="165"/>
      <c r="C26" s="165"/>
      <c r="D26" s="165"/>
      <c r="E26" s="165"/>
      <c r="F26" s="165"/>
      <c r="G26" s="11"/>
    </row>
    <row r="27" spans="1:7" x14ac:dyDescent="0.2">
      <c r="A27" s="8"/>
      <c r="B27" s="165"/>
      <c r="C27" s="165"/>
      <c r="D27" s="165"/>
      <c r="E27" s="165"/>
      <c r="F27" s="165"/>
      <c r="G27" s="11"/>
    </row>
    <row r="28" spans="1:7" x14ac:dyDescent="0.2">
      <c r="A28" s="8"/>
      <c r="B28" s="12" t="s">
        <v>1</v>
      </c>
      <c r="C28" s="10"/>
      <c r="D28" s="13" t="s">
        <v>0</v>
      </c>
      <c r="E28" s="10"/>
      <c r="F28" s="10"/>
      <c r="G28" s="11"/>
    </row>
    <row r="29" spans="1:7" x14ac:dyDescent="0.2">
      <c r="A29" s="8"/>
      <c r="B29" s="10" t="s">
        <v>42</v>
      </c>
      <c r="C29" s="10"/>
      <c r="D29" s="52">
        <v>32000</v>
      </c>
      <c r="E29" s="10"/>
      <c r="F29" s="10"/>
      <c r="G29" s="11"/>
    </row>
    <row r="30" spans="1:7" x14ac:dyDescent="0.2">
      <c r="A30" s="8"/>
      <c r="B30" s="10" t="s">
        <v>122</v>
      </c>
      <c r="C30" s="10"/>
      <c r="D30" s="18">
        <v>1.64</v>
      </c>
      <c r="E30" s="10"/>
      <c r="F30" s="10"/>
      <c r="G30" s="11"/>
    </row>
    <row r="31" spans="1:7" x14ac:dyDescent="0.2">
      <c r="A31" s="8"/>
      <c r="B31" s="10" t="s">
        <v>133</v>
      </c>
      <c r="C31" s="10"/>
      <c r="D31" s="53">
        <v>0.05</v>
      </c>
      <c r="E31" s="10"/>
      <c r="F31" s="10"/>
      <c r="G31" s="11"/>
    </row>
    <row r="32" spans="1:7" x14ac:dyDescent="0.2">
      <c r="A32" s="8"/>
      <c r="B32" s="10"/>
      <c r="C32" s="10"/>
      <c r="D32" s="18"/>
      <c r="E32" s="10"/>
      <c r="F32" s="10"/>
      <c r="G32" s="11"/>
    </row>
    <row r="33" spans="1:7" x14ac:dyDescent="0.2">
      <c r="A33" s="8"/>
      <c r="B33" s="12" t="s">
        <v>43</v>
      </c>
      <c r="C33" s="10"/>
      <c r="D33" s="13" t="s">
        <v>44</v>
      </c>
      <c r="E33" s="10"/>
      <c r="F33" s="13" t="s">
        <v>45</v>
      </c>
      <c r="G33" s="11"/>
    </row>
    <row r="34" spans="1:7" ht="13.5" thickBot="1" x14ac:dyDescent="0.25">
      <c r="A34" s="8"/>
      <c r="B34" s="10"/>
      <c r="C34" s="10"/>
      <c r="D34" s="10"/>
      <c r="E34" s="10"/>
      <c r="F34" s="10"/>
      <c r="G34" s="11"/>
    </row>
    <row r="35" spans="1:7" ht="13.5" thickBot="1" x14ac:dyDescent="0.25">
      <c r="A35" s="8"/>
      <c r="B35" s="19" t="s">
        <v>46</v>
      </c>
      <c r="C35" s="10"/>
      <c r="D35" s="71">
        <f>$D$30*(1+$D$31)</f>
        <v>1.722</v>
      </c>
      <c r="E35" s="10"/>
      <c r="F35" s="71">
        <f>$D$30*(1-$D$31)</f>
        <v>1.5579999999999998</v>
      </c>
      <c r="G35" s="11"/>
    </row>
    <row r="36" spans="1:7" x14ac:dyDescent="0.2">
      <c r="A36" s="8"/>
      <c r="B36" s="10" t="s">
        <v>47</v>
      </c>
      <c r="C36" s="10"/>
      <c r="D36" s="10"/>
      <c r="E36" s="10"/>
      <c r="F36" s="10"/>
      <c r="G36" s="11"/>
    </row>
    <row r="37" spans="1:7" x14ac:dyDescent="0.2">
      <c r="A37" s="8"/>
      <c r="B37" s="10"/>
      <c r="C37" s="10"/>
      <c r="D37" s="10"/>
      <c r="E37" s="10"/>
      <c r="F37" s="10"/>
      <c r="G37" s="11"/>
    </row>
    <row r="38" spans="1:7" x14ac:dyDescent="0.2">
      <c r="A38" s="8"/>
      <c r="B38" s="19" t="s">
        <v>120</v>
      </c>
      <c r="C38" s="10"/>
      <c r="D38" s="18"/>
      <c r="E38" s="10"/>
      <c r="F38" s="10"/>
      <c r="G38" s="11"/>
    </row>
    <row r="39" spans="1:7" x14ac:dyDescent="0.2">
      <c r="A39" s="8"/>
      <c r="B39" s="19"/>
      <c r="C39" s="10"/>
      <c r="D39" s="18"/>
      <c r="E39" s="10"/>
      <c r="F39" s="10"/>
      <c r="G39" s="11"/>
    </row>
    <row r="40" spans="1:7" x14ac:dyDescent="0.2">
      <c r="A40" s="8"/>
      <c r="B40" s="3" t="s">
        <v>117</v>
      </c>
      <c r="C40" s="10"/>
      <c r="D40" s="18">
        <v>1.7</v>
      </c>
      <c r="E40" s="10"/>
      <c r="F40" s="10"/>
      <c r="G40" s="11"/>
    </row>
    <row r="41" spans="1:7" x14ac:dyDescent="0.2">
      <c r="A41" s="8"/>
      <c r="B41" s="10" t="s">
        <v>48</v>
      </c>
      <c r="C41" s="10"/>
      <c r="D41" s="20" t="s">
        <v>118</v>
      </c>
      <c r="E41" s="10"/>
      <c r="F41" s="10"/>
      <c r="G41" s="11"/>
    </row>
    <row r="42" spans="1:7" x14ac:dyDescent="0.2">
      <c r="A42" s="8"/>
      <c r="B42" s="10" t="s">
        <v>119</v>
      </c>
      <c r="C42" s="10"/>
      <c r="D42" s="72">
        <f>10*D29*D40</f>
        <v>544000</v>
      </c>
      <c r="E42" s="10"/>
      <c r="F42" s="10"/>
      <c r="G42" s="11"/>
    </row>
    <row r="43" spans="1:7" x14ac:dyDescent="0.2">
      <c r="A43" s="8"/>
      <c r="B43" s="19"/>
      <c r="C43" s="10"/>
      <c r="D43" s="18"/>
      <c r="E43" s="10"/>
      <c r="F43" s="10"/>
      <c r="G43" s="11"/>
    </row>
    <row r="44" spans="1:7" x14ac:dyDescent="0.2">
      <c r="A44" s="8"/>
      <c r="B44" s="4" t="s">
        <v>149</v>
      </c>
      <c r="C44" s="10"/>
      <c r="D44" s="73">
        <f>10*D29</f>
        <v>320000</v>
      </c>
      <c r="E44" s="10"/>
      <c r="F44" s="10"/>
      <c r="G44" s="11"/>
    </row>
    <row r="45" spans="1:7" x14ac:dyDescent="0.2">
      <c r="A45" s="8"/>
      <c r="B45" s="4" t="s">
        <v>150</v>
      </c>
      <c r="C45" s="10"/>
      <c r="D45" s="10"/>
      <c r="E45" s="10"/>
      <c r="F45" s="10"/>
      <c r="G45" s="11"/>
    </row>
    <row r="46" spans="1:7" x14ac:dyDescent="0.2">
      <c r="A46" s="8"/>
      <c r="B46" s="10"/>
      <c r="C46" s="10"/>
      <c r="D46" s="10"/>
      <c r="E46" s="10"/>
      <c r="F46" s="10"/>
      <c r="G46" s="11"/>
    </row>
    <row r="47" spans="1:7" x14ac:dyDescent="0.2">
      <c r="A47" s="8"/>
      <c r="B47" s="19" t="s">
        <v>121</v>
      </c>
      <c r="C47" s="10"/>
      <c r="D47" s="54"/>
      <c r="E47" s="10"/>
      <c r="F47" s="10"/>
      <c r="G47" s="11"/>
    </row>
    <row r="48" spans="1:7" x14ac:dyDescent="0.2">
      <c r="A48" s="8"/>
      <c r="B48" s="19"/>
      <c r="C48" s="10"/>
      <c r="D48" s="54"/>
      <c r="E48" s="10"/>
      <c r="F48" s="10"/>
      <c r="G48" s="11"/>
    </row>
    <row r="49" spans="1:7" x14ac:dyDescent="0.2">
      <c r="A49" s="8"/>
      <c r="B49" s="3" t="s">
        <v>117</v>
      </c>
      <c r="C49" s="10"/>
      <c r="D49" s="18">
        <v>1.65</v>
      </c>
      <c r="E49" s="10"/>
      <c r="F49" s="10"/>
      <c r="G49" s="11"/>
    </row>
    <row r="50" spans="1:7" x14ac:dyDescent="0.2">
      <c r="A50" s="8"/>
      <c r="B50" s="10" t="s">
        <v>48</v>
      </c>
      <c r="C50" s="10"/>
      <c r="D50" s="20" t="s">
        <v>118</v>
      </c>
      <c r="E50" s="10"/>
      <c r="F50" s="10"/>
      <c r="G50" s="11"/>
    </row>
    <row r="51" spans="1:7" x14ac:dyDescent="0.2">
      <c r="A51" s="8"/>
      <c r="B51" s="10" t="s">
        <v>119</v>
      </c>
      <c r="C51" s="10"/>
      <c r="D51" s="72">
        <f>10*D29*D49</f>
        <v>528000</v>
      </c>
      <c r="E51" s="10"/>
      <c r="F51" s="10"/>
      <c r="G51" s="11"/>
    </row>
    <row r="52" spans="1:7" x14ac:dyDescent="0.2">
      <c r="A52" s="8"/>
      <c r="B52" s="10"/>
      <c r="C52" s="10"/>
      <c r="D52" s="55"/>
      <c r="E52" s="10"/>
      <c r="F52" s="10"/>
      <c r="G52" s="11"/>
    </row>
    <row r="53" spans="1:7" x14ac:dyDescent="0.2">
      <c r="A53" s="8"/>
      <c r="B53" s="4" t="s">
        <v>149</v>
      </c>
      <c r="C53" s="10"/>
      <c r="D53" s="73">
        <f>10*D29</f>
        <v>320000</v>
      </c>
      <c r="E53" s="10"/>
      <c r="F53" s="10"/>
      <c r="G53" s="11"/>
    </row>
    <row r="54" spans="1:7" x14ac:dyDescent="0.2">
      <c r="A54" s="8"/>
      <c r="B54" s="4" t="s">
        <v>151</v>
      </c>
      <c r="C54" s="10"/>
      <c r="D54" s="10"/>
      <c r="E54" s="10"/>
      <c r="F54" s="10"/>
      <c r="G54" s="11"/>
    </row>
    <row r="55" spans="1:7" x14ac:dyDescent="0.2">
      <c r="A55" s="8"/>
      <c r="B55" s="10"/>
      <c r="C55" s="10"/>
      <c r="D55" s="10"/>
      <c r="E55" s="10"/>
      <c r="F55" s="10"/>
      <c r="G55" s="11"/>
    </row>
    <row r="56" spans="1:7" x14ac:dyDescent="0.2">
      <c r="A56" s="8"/>
      <c r="B56" s="19" t="s">
        <v>49</v>
      </c>
      <c r="C56" s="10"/>
      <c r="D56" s="10"/>
      <c r="E56" s="10"/>
      <c r="F56" s="10"/>
      <c r="G56" s="11"/>
    </row>
    <row r="57" spans="1:7" x14ac:dyDescent="0.2">
      <c r="A57" s="8"/>
      <c r="B57" s="19"/>
      <c r="C57" s="10"/>
      <c r="D57" s="10"/>
      <c r="E57" s="10"/>
      <c r="F57" s="10"/>
      <c r="G57" s="11"/>
    </row>
    <row r="58" spans="1:7" x14ac:dyDescent="0.2">
      <c r="A58" s="8"/>
      <c r="B58" s="180" t="s">
        <v>152</v>
      </c>
      <c r="C58" s="179"/>
      <c r="D58" s="179"/>
      <c r="E58" s="179"/>
      <c r="F58" s="179"/>
      <c r="G58" s="11"/>
    </row>
    <row r="59" spans="1:7" x14ac:dyDescent="0.2">
      <c r="A59" s="8"/>
      <c r="B59" s="179"/>
      <c r="C59" s="179"/>
      <c r="D59" s="179"/>
      <c r="E59" s="179"/>
      <c r="F59" s="179"/>
      <c r="G59" s="11"/>
    </row>
    <row r="60" spans="1:7" x14ac:dyDescent="0.2">
      <c r="A60" s="8"/>
      <c r="B60" s="10"/>
      <c r="C60" s="10"/>
      <c r="D60" s="10"/>
      <c r="E60" s="10"/>
      <c r="F60" s="10"/>
      <c r="G60" s="11"/>
    </row>
    <row r="61" spans="1:7" x14ac:dyDescent="0.2">
      <c r="A61" s="8"/>
      <c r="B61" s="19" t="s">
        <v>50</v>
      </c>
      <c r="C61" s="10"/>
      <c r="D61" s="10"/>
      <c r="E61" s="10"/>
      <c r="F61" s="10"/>
      <c r="G61" s="11"/>
    </row>
    <row r="62" spans="1:7" x14ac:dyDescent="0.2">
      <c r="A62" s="8"/>
      <c r="B62" s="19"/>
      <c r="C62" s="10"/>
      <c r="D62" s="10"/>
      <c r="E62" s="10"/>
      <c r="F62" s="10"/>
      <c r="G62" s="11"/>
    </row>
    <row r="63" spans="1:7" x14ac:dyDescent="0.2">
      <c r="A63" s="8"/>
      <c r="B63" s="177" t="s">
        <v>127</v>
      </c>
      <c r="C63" s="179"/>
      <c r="D63" s="179"/>
      <c r="E63" s="179"/>
      <c r="F63" s="179"/>
      <c r="G63" s="11"/>
    </row>
    <row r="64" spans="1:7" x14ac:dyDescent="0.2">
      <c r="A64" s="8"/>
      <c r="B64" s="179"/>
      <c r="C64" s="179"/>
      <c r="D64" s="179"/>
      <c r="E64" s="179"/>
      <c r="F64" s="179"/>
      <c r="G64" s="11"/>
    </row>
    <row r="65" spans="1:7" x14ac:dyDescent="0.2">
      <c r="A65" s="8"/>
      <c r="B65" s="179"/>
      <c r="C65" s="179"/>
      <c r="D65" s="179"/>
      <c r="E65" s="179"/>
      <c r="F65" s="179"/>
      <c r="G65" s="11"/>
    </row>
    <row r="66" spans="1:7" x14ac:dyDescent="0.2">
      <c r="A66" s="8"/>
      <c r="B66" s="179"/>
      <c r="C66" s="179"/>
      <c r="D66" s="179"/>
      <c r="E66" s="179"/>
      <c r="F66" s="179"/>
      <c r="G66" s="11"/>
    </row>
    <row r="67" spans="1:7" ht="13.5" thickBot="1" x14ac:dyDescent="0.25">
      <c r="A67" s="22"/>
      <c r="B67" s="23"/>
      <c r="C67" s="23"/>
      <c r="D67" s="23"/>
      <c r="E67" s="23"/>
      <c r="F67" s="23"/>
      <c r="G67" s="24"/>
    </row>
  </sheetData>
  <mergeCells count="4">
    <mergeCell ref="B2:F2"/>
    <mergeCell ref="B63:F66"/>
    <mergeCell ref="B58:F59"/>
    <mergeCell ref="B4:F27"/>
  </mergeCells>
  <phoneticPr fontId="0" type="noConversion"/>
  <printOptions horizontalCentered="1"/>
  <pageMargins left="0.75" right="0.75" top="1" bottom="1" header="0.5" footer="0.5"/>
  <pageSetup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heetViews>
  <sheetFormatPr defaultRowHeight="12.75" x14ac:dyDescent="0.2"/>
  <cols>
    <col min="1" max="1" width="3.1640625" style="81" customWidth="1"/>
    <col min="2" max="2" width="35.83203125" style="81" customWidth="1"/>
    <col min="3" max="3" width="3.1640625" style="81" customWidth="1"/>
    <col min="4" max="8" width="15.83203125" style="81" customWidth="1"/>
    <col min="9" max="9" width="3.1640625" style="81" customWidth="1"/>
    <col min="10" max="256" width="9.33203125" style="81"/>
    <col min="257" max="257" width="3.1640625" style="81" customWidth="1"/>
    <col min="258" max="258" width="35.83203125" style="81" customWidth="1"/>
    <col min="259" max="259" width="3.1640625" style="81" customWidth="1"/>
    <col min="260" max="264" width="15.83203125" style="81" customWidth="1"/>
    <col min="265" max="265" width="3.1640625" style="81" customWidth="1"/>
    <col min="266" max="512" width="9.33203125" style="81"/>
    <col min="513" max="513" width="3.1640625" style="81" customWidth="1"/>
    <col min="514" max="514" width="35.83203125" style="81" customWidth="1"/>
    <col min="515" max="515" width="3.1640625" style="81" customWidth="1"/>
    <col min="516" max="520" width="15.83203125" style="81" customWidth="1"/>
    <col min="521" max="521" width="3.1640625" style="81" customWidth="1"/>
    <col min="522" max="768" width="9.33203125" style="81"/>
    <col min="769" max="769" width="3.1640625" style="81" customWidth="1"/>
    <col min="770" max="770" width="35.83203125" style="81" customWidth="1"/>
    <col min="771" max="771" width="3.1640625" style="81" customWidth="1"/>
    <col min="772" max="776" width="15.83203125" style="81" customWidth="1"/>
    <col min="777" max="777" width="3.1640625" style="81" customWidth="1"/>
    <col min="778" max="1024" width="9.33203125" style="81"/>
    <col min="1025" max="1025" width="3.1640625" style="81" customWidth="1"/>
    <col min="1026" max="1026" width="35.83203125" style="81" customWidth="1"/>
    <col min="1027" max="1027" width="3.1640625" style="81" customWidth="1"/>
    <col min="1028" max="1032" width="15.83203125" style="81" customWidth="1"/>
    <col min="1033" max="1033" width="3.1640625" style="81" customWidth="1"/>
    <col min="1034" max="1280" width="9.33203125" style="81"/>
    <col min="1281" max="1281" width="3.1640625" style="81" customWidth="1"/>
    <col min="1282" max="1282" width="35.83203125" style="81" customWidth="1"/>
    <col min="1283" max="1283" width="3.1640625" style="81" customWidth="1"/>
    <col min="1284" max="1288" width="15.83203125" style="81" customWidth="1"/>
    <col min="1289" max="1289" width="3.1640625" style="81" customWidth="1"/>
    <col min="1290" max="1536" width="9.33203125" style="81"/>
    <col min="1537" max="1537" width="3.1640625" style="81" customWidth="1"/>
    <col min="1538" max="1538" width="35.83203125" style="81" customWidth="1"/>
    <col min="1539" max="1539" width="3.1640625" style="81" customWidth="1"/>
    <col min="1540" max="1544" width="15.83203125" style="81" customWidth="1"/>
    <col min="1545" max="1545" width="3.1640625" style="81" customWidth="1"/>
    <col min="1546" max="1792" width="9.33203125" style="81"/>
    <col min="1793" max="1793" width="3.1640625" style="81" customWidth="1"/>
    <col min="1794" max="1794" width="35.83203125" style="81" customWidth="1"/>
    <col min="1795" max="1795" width="3.1640625" style="81" customWidth="1"/>
    <col min="1796" max="1800" width="15.83203125" style="81" customWidth="1"/>
    <col min="1801" max="1801" width="3.1640625" style="81" customWidth="1"/>
    <col min="1802" max="2048" width="9.33203125" style="81"/>
    <col min="2049" max="2049" width="3.1640625" style="81" customWidth="1"/>
    <col min="2050" max="2050" width="35.83203125" style="81" customWidth="1"/>
    <col min="2051" max="2051" width="3.1640625" style="81" customWidth="1"/>
    <col min="2052" max="2056" width="15.83203125" style="81" customWidth="1"/>
    <col min="2057" max="2057" width="3.1640625" style="81" customWidth="1"/>
    <col min="2058" max="2304" width="9.33203125" style="81"/>
    <col min="2305" max="2305" width="3.1640625" style="81" customWidth="1"/>
    <col min="2306" max="2306" width="35.83203125" style="81" customWidth="1"/>
    <col min="2307" max="2307" width="3.1640625" style="81" customWidth="1"/>
    <col min="2308" max="2312" width="15.83203125" style="81" customWidth="1"/>
    <col min="2313" max="2313" width="3.1640625" style="81" customWidth="1"/>
    <col min="2314" max="2560" width="9.33203125" style="81"/>
    <col min="2561" max="2561" width="3.1640625" style="81" customWidth="1"/>
    <col min="2562" max="2562" width="35.83203125" style="81" customWidth="1"/>
    <col min="2563" max="2563" width="3.1640625" style="81" customWidth="1"/>
    <col min="2564" max="2568" width="15.83203125" style="81" customWidth="1"/>
    <col min="2569" max="2569" width="3.1640625" style="81" customWidth="1"/>
    <col min="2570" max="2816" width="9.33203125" style="81"/>
    <col min="2817" max="2817" width="3.1640625" style="81" customWidth="1"/>
    <col min="2818" max="2818" width="35.83203125" style="81" customWidth="1"/>
    <col min="2819" max="2819" width="3.1640625" style="81" customWidth="1"/>
    <col min="2820" max="2824" width="15.83203125" style="81" customWidth="1"/>
    <col min="2825" max="2825" width="3.1640625" style="81" customWidth="1"/>
    <col min="2826" max="3072" width="9.33203125" style="81"/>
    <col min="3073" max="3073" width="3.1640625" style="81" customWidth="1"/>
    <col min="3074" max="3074" width="35.83203125" style="81" customWidth="1"/>
    <col min="3075" max="3075" width="3.1640625" style="81" customWidth="1"/>
    <col min="3076" max="3080" width="15.83203125" style="81" customWidth="1"/>
    <col min="3081" max="3081" width="3.1640625" style="81" customWidth="1"/>
    <col min="3082" max="3328" width="9.33203125" style="81"/>
    <col min="3329" max="3329" width="3.1640625" style="81" customWidth="1"/>
    <col min="3330" max="3330" width="35.83203125" style="81" customWidth="1"/>
    <col min="3331" max="3331" width="3.1640625" style="81" customWidth="1"/>
    <col min="3332" max="3336" width="15.83203125" style="81" customWidth="1"/>
    <col min="3337" max="3337" width="3.1640625" style="81" customWidth="1"/>
    <col min="3338" max="3584" width="9.33203125" style="81"/>
    <col min="3585" max="3585" width="3.1640625" style="81" customWidth="1"/>
    <col min="3586" max="3586" width="35.83203125" style="81" customWidth="1"/>
    <col min="3587" max="3587" width="3.1640625" style="81" customWidth="1"/>
    <col min="3588" max="3592" width="15.83203125" style="81" customWidth="1"/>
    <col min="3593" max="3593" width="3.1640625" style="81" customWidth="1"/>
    <col min="3594" max="3840" width="9.33203125" style="81"/>
    <col min="3841" max="3841" width="3.1640625" style="81" customWidth="1"/>
    <col min="3842" max="3842" width="35.83203125" style="81" customWidth="1"/>
    <col min="3843" max="3843" width="3.1640625" style="81" customWidth="1"/>
    <col min="3844" max="3848" width="15.83203125" style="81" customWidth="1"/>
    <col min="3849" max="3849" width="3.1640625" style="81" customWidth="1"/>
    <col min="3850" max="4096" width="9.33203125" style="81"/>
    <col min="4097" max="4097" width="3.1640625" style="81" customWidth="1"/>
    <col min="4098" max="4098" width="35.83203125" style="81" customWidth="1"/>
    <col min="4099" max="4099" width="3.1640625" style="81" customWidth="1"/>
    <col min="4100" max="4104" width="15.83203125" style="81" customWidth="1"/>
    <col min="4105" max="4105" width="3.1640625" style="81" customWidth="1"/>
    <col min="4106" max="4352" width="9.33203125" style="81"/>
    <col min="4353" max="4353" width="3.1640625" style="81" customWidth="1"/>
    <col min="4354" max="4354" width="35.83203125" style="81" customWidth="1"/>
    <col min="4355" max="4355" width="3.1640625" style="81" customWidth="1"/>
    <col min="4356" max="4360" width="15.83203125" style="81" customWidth="1"/>
    <col min="4361" max="4361" width="3.1640625" style="81" customWidth="1"/>
    <col min="4362" max="4608" width="9.33203125" style="81"/>
    <col min="4609" max="4609" width="3.1640625" style="81" customWidth="1"/>
    <col min="4610" max="4610" width="35.83203125" style="81" customWidth="1"/>
    <col min="4611" max="4611" width="3.1640625" style="81" customWidth="1"/>
    <col min="4612" max="4616" width="15.83203125" style="81" customWidth="1"/>
    <col min="4617" max="4617" width="3.1640625" style="81" customWidth="1"/>
    <col min="4618" max="4864" width="9.33203125" style="81"/>
    <col min="4865" max="4865" width="3.1640625" style="81" customWidth="1"/>
    <col min="4866" max="4866" width="35.83203125" style="81" customWidth="1"/>
    <col min="4867" max="4867" width="3.1640625" style="81" customWidth="1"/>
    <col min="4868" max="4872" width="15.83203125" style="81" customWidth="1"/>
    <col min="4873" max="4873" width="3.1640625" style="81" customWidth="1"/>
    <col min="4874" max="5120" width="9.33203125" style="81"/>
    <col min="5121" max="5121" width="3.1640625" style="81" customWidth="1"/>
    <col min="5122" max="5122" width="35.83203125" style="81" customWidth="1"/>
    <col min="5123" max="5123" width="3.1640625" style="81" customWidth="1"/>
    <col min="5124" max="5128" width="15.83203125" style="81" customWidth="1"/>
    <col min="5129" max="5129" width="3.1640625" style="81" customWidth="1"/>
    <col min="5130" max="5376" width="9.33203125" style="81"/>
    <col min="5377" max="5377" width="3.1640625" style="81" customWidth="1"/>
    <col min="5378" max="5378" width="35.83203125" style="81" customWidth="1"/>
    <col min="5379" max="5379" width="3.1640625" style="81" customWidth="1"/>
    <col min="5380" max="5384" width="15.83203125" style="81" customWidth="1"/>
    <col min="5385" max="5385" width="3.1640625" style="81" customWidth="1"/>
    <col min="5386" max="5632" width="9.33203125" style="81"/>
    <col min="5633" max="5633" width="3.1640625" style="81" customWidth="1"/>
    <col min="5634" max="5634" width="35.83203125" style="81" customWidth="1"/>
    <col min="5635" max="5635" width="3.1640625" style="81" customWidth="1"/>
    <col min="5636" max="5640" width="15.83203125" style="81" customWidth="1"/>
    <col min="5641" max="5641" width="3.1640625" style="81" customWidth="1"/>
    <col min="5642" max="5888" width="9.33203125" style="81"/>
    <col min="5889" max="5889" width="3.1640625" style="81" customWidth="1"/>
    <col min="5890" max="5890" width="35.83203125" style="81" customWidth="1"/>
    <col min="5891" max="5891" width="3.1640625" style="81" customWidth="1"/>
    <col min="5892" max="5896" width="15.83203125" style="81" customWidth="1"/>
    <col min="5897" max="5897" width="3.1640625" style="81" customWidth="1"/>
    <col min="5898" max="6144" width="9.33203125" style="81"/>
    <col min="6145" max="6145" width="3.1640625" style="81" customWidth="1"/>
    <col min="6146" max="6146" width="35.83203125" style="81" customWidth="1"/>
    <col min="6147" max="6147" width="3.1640625" style="81" customWidth="1"/>
    <col min="6148" max="6152" width="15.83203125" style="81" customWidth="1"/>
    <col min="6153" max="6153" width="3.1640625" style="81" customWidth="1"/>
    <col min="6154" max="6400" width="9.33203125" style="81"/>
    <col min="6401" max="6401" width="3.1640625" style="81" customWidth="1"/>
    <col min="6402" max="6402" width="35.83203125" style="81" customWidth="1"/>
    <col min="6403" max="6403" width="3.1640625" style="81" customWidth="1"/>
    <col min="6404" max="6408" width="15.83203125" style="81" customWidth="1"/>
    <col min="6409" max="6409" width="3.1640625" style="81" customWidth="1"/>
    <col min="6410" max="6656" width="9.33203125" style="81"/>
    <col min="6657" max="6657" width="3.1640625" style="81" customWidth="1"/>
    <col min="6658" max="6658" width="35.83203125" style="81" customWidth="1"/>
    <col min="6659" max="6659" width="3.1640625" style="81" customWidth="1"/>
    <col min="6660" max="6664" width="15.83203125" style="81" customWidth="1"/>
    <col min="6665" max="6665" width="3.1640625" style="81" customWidth="1"/>
    <col min="6666" max="6912" width="9.33203125" style="81"/>
    <col min="6913" max="6913" width="3.1640625" style="81" customWidth="1"/>
    <col min="6914" max="6914" width="35.83203125" style="81" customWidth="1"/>
    <col min="6915" max="6915" width="3.1640625" style="81" customWidth="1"/>
    <col min="6916" max="6920" width="15.83203125" style="81" customWidth="1"/>
    <col min="6921" max="6921" width="3.1640625" style="81" customWidth="1"/>
    <col min="6922" max="7168" width="9.33203125" style="81"/>
    <col min="7169" max="7169" width="3.1640625" style="81" customWidth="1"/>
    <col min="7170" max="7170" width="35.83203125" style="81" customWidth="1"/>
    <col min="7171" max="7171" width="3.1640625" style="81" customWidth="1"/>
    <col min="7172" max="7176" width="15.83203125" style="81" customWidth="1"/>
    <col min="7177" max="7177" width="3.1640625" style="81" customWidth="1"/>
    <col min="7178" max="7424" width="9.33203125" style="81"/>
    <col min="7425" max="7425" width="3.1640625" style="81" customWidth="1"/>
    <col min="7426" max="7426" width="35.83203125" style="81" customWidth="1"/>
    <col min="7427" max="7427" width="3.1640625" style="81" customWidth="1"/>
    <col min="7428" max="7432" width="15.83203125" style="81" customWidth="1"/>
    <col min="7433" max="7433" width="3.1640625" style="81" customWidth="1"/>
    <col min="7434" max="7680" width="9.33203125" style="81"/>
    <col min="7681" max="7681" width="3.1640625" style="81" customWidth="1"/>
    <col min="7682" max="7682" width="35.83203125" style="81" customWidth="1"/>
    <col min="7683" max="7683" width="3.1640625" style="81" customWidth="1"/>
    <col min="7684" max="7688" width="15.83203125" style="81" customWidth="1"/>
    <col min="7689" max="7689" width="3.1640625" style="81" customWidth="1"/>
    <col min="7690" max="7936" width="9.33203125" style="81"/>
    <col min="7937" max="7937" width="3.1640625" style="81" customWidth="1"/>
    <col min="7938" max="7938" width="35.83203125" style="81" customWidth="1"/>
    <col min="7939" max="7939" width="3.1640625" style="81" customWidth="1"/>
    <col min="7940" max="7944" width="15.83203125" style="81" customWidth="1"/>
    <col min="7945" max="7945" width="3.1640625" style="81" customWidth="1"/>
    <col min="7946" max="8192" width="9.33203125" style="81"/>
    <col min="8193" max="8193" width="3.1640625" style="81" customWidth="1"/>
    <col min="8194" max="8194" width="35.83203125" style="81" customWidth="1"/>
    <col min="8195" max="8195" width="3.1640625" style="81" customWidth="1"/>
    <col min="8196" max="8200" width="15.83203125" style="81" customWidth="1"/>
    <col min="8201" max="8201" width="3.1640625" style="81" customWidth="1"/>
    <col min="8202" max="8448" width="9.33203125" style="81"/>
    <col min="8449" max="8449" width="3.1640625" style="81" customWidth="1"/>
    <col min="8450" max="8450" width="35.83203125" style="81" customWidth="1"/>
    <col min="8451" max="8451" width="3.1640625" style="81" customWidth="1"/>
    <col min="8452" max="8456" width="15.83203125" style="81" customWidth="1"/>
    <col min="8457" max="8457" width="3.1640625" style="81" customWidth="1"/>
    <col min="8458" max="8704" width="9.33203125" style="81"/>
    <col min="8705" max="8705" width="3.1640625" style="81" customWidth="1"/>
    <col min="8706" max="8706" width="35.83203125" style="81" customWidth="1"/>
    <col min="8707" max="8707" width="3.1640625" style="81" customWidth="1"/>
    <col min="8708" max="8712" width="15.83203125" style="81" customWidth="1"/>
    <col min="8713" max="8713" width="3.1640625" style="81" customWidth="1"/>
    <col min="8714" max="8960" width="9.33203125" style="81"/>
    <col min="8961" max="8961" width="3.1640625" style="81" customWidth="1"/>
    <col min="8962" max="8962" width="35.83203125" style="81" customWidth="1"/>
    <col min="8963" max="8963" width="3.1640625" style="81" customWidth="1"/>
    <col min="8964" max="8968" width="15.83203125" style="81" customWidth="1"/>
    <col min="8969" max="8969" width="3.1640625" style="81" customWidth="1"/>
    <col min="8970" max="9216" width="9.33203125" style="81"/>
    <col min="9217" max="9217" width="3.1640625" style="81" customWidth="1"/>
    <col min="9218" max="9218" width="35.83203125" style="81" customWidth="1"/>
    <col min="9219" max="9219" width="3.1640625" style="81" customWidth="1"/>
    <col min="9220" max="9224" width="15.83203125" style="81" customWidth="1"/>
    <col min="9225" max="9225" width="3.1640625" style="81" customWidth="1"/>
    <col min="9226" max="9472" width="9.33203125" style="81"/>
    <col min="9473" max="9473" width="3.1640625" style="81" customWidth="1"/>
    <col min="9474" max="9474" width="35.83203125" style="81" customWidth="1"/>
    <col min="9475" max="9475" width="3.1640625" style="81" customWidth="1"/>
    <col min="9476" max="9480" width="15.83203125" style="81" customWidth="1"/>
    <col min="9481" max="9481" width="3.1640625" style="81" customWidth="1"/>
    <col min="9482" max="9728" width="9.33203125" style="81"/>
    <col min="9729" max="9729" width="3.1640625" style="81" customWidth="1"/>
    <col min="9730" max="9730" width="35.83203125" style="81" customWidth="1"/>
    <col min="9731" max="9731" width="3.1640625" style="81" customWidth="1"/>
    <col min="9732" max="9736" width="15.83203125" style="81" customWidth="1"/>
    <col min="9737" max="9737" width="3.1640625" style="81" customWidth="1"/>
    <col min="9738" max="9984" width="9.33203125" style="81"/>
    <col min="9985" max="9985" width="3.1640625" style="81" customWidth="1"/>
    <col min="9986" max="9986" width="35.83203125" style="81" customWidth="1"/>
    <col min="9987" max="9987" width="3.1640625" style="81" customWidth="1"/>
    <col min="9988" max="9992" width="15.83203125" style="81" customWidth="1"/>
    <col min="9993" max="9993" width="3.1640625" style="81" customWidth="1"/>
    <col min="9994" max="10240" width="9.33203125" style="81"/>
    <col min="10241" max="10241" width="3.1640625" style="81" customWidth="1"/>
    <col min="10242" max="10242" width="35.83203125" style="81" customWidth="1"/>
    <col min="10243" max="10243" width="3.1640625" style="81" customWidth="1"/>
    <col min="10244" max="10248" width="15.83203125" style="81" customWidth="1"/>
    <col min="10249" max="10249" width="3.1640625" style="81" customWidth="1"/>
    <col min="10250" max="10496" width="9.33203125" style="81"/>
    <col min="10497" max="10497" width="3.1640625" style="81" customWidth="1"/>
    <col min="10498" max="10498" width="35.83203125" style="81" customWidth="1"/>
    <col min="10499" max="10499" width="3.1640625" style="81" customWidth="1"/>
    <col min="10500" max="10504" width="15.83203125" style="81" customWidth="1"/>
    <col min="10505" max="10505" width="3.1640625" style="81" customWidth="1"/>
    <col min="10506" max="10752" width="9.33203125" style="81"/>
    <col min="10753" max="10753" width="3.1640625" style="81" customWidth="1"/>
    <col min="10754" max="10754" width="35.83203125" style="81" customWidth="1"/>
    <col min="10755" max="10755" width="3.1640625" style="81" customWidth="1"/>
    <col min="10756" max="10760" width="15.83203125" style="81" customWidth="1"/>
    <col min="10761" max="10761" width="3.1640625" style="81" customWidth="1"/>
    <col min="10762" max="11008" width="9.33203125" style="81"/>
    <col min="11009" max="11009" width="3.1640625" style="81" customWidth="1"/>
    <col min="11010" max="11010" width="35.83203125" style="81" customWidth="1"/>
    <col min="11011" max="11011" width="3.1640625" style="81" customWidth="1"/>
    <col min="11012" max="11016" width="15.83203125" style="81" customWidth="1"/>
    <col min="11017" max="11017" width="3.1640625" style="81" customWidth="1"/>
    <col min="11018" max="11264" width="9.33203125" style="81"/>
    <col min="11265" max="11265" width="3.1640625" style="81" customWidth="1"/>
    <col min="11266" max="11266" width="35.83203125" style="81" customWidth="1"/>
    <col min="11267" max="11267" width="3.1640625" style="81" customWidth="1"/>
    <col min="11268" max="11272" width="15.83203125" style="81" customWidth="1"/>
    <col min="11273" max="11273" width="3.1640625" style="81" customWidth="1"/>
    <col min="11274" max="11520" width="9.33203125" style="81"/>
    <col min="11521" max="11521" width="3.1640625" style="81" customWidth="1"/>
    <col min="11522" max="11522" width="35.83203125" style="81" customWidth="1"/>
    <col min="11523" max="11523" width="3.1640625" style="81" customWidth="1"/>
    <col min="11524" max="11528" width="15.83203125" style="81" customWidth="1"/>
    <col min="11529" max="11529" width="3.1640625" style="81" customWidth="1"/>
    <col min="11530" max="11776" width="9.33203125" style="81"/>
    <col min="11777" max="11777" width="3.1640625" style="81" customWidth="1"/>
    <col min="11778" max="11778" width="35.83203125" style="81" customWidth="1"/>
    <col min="11779" max="11779" width="3.1640625" style="81" customWidth="1"/>
    <col min="11780" max="11784" width="15.83203125" style="81" customWidth="1"/>
    <col min="11785" max="11785" width="3.1640625" style="81" customWidth="1"/>
    <col min="11786" max="12032" width="9.33203125" style="81"/>
    <col min="12033" max="12033" width="3.1640625" style="81" customWidth="1"/>
    <col min="12034" max="12034" width="35.83203125" style="81" customWidth="1"/>
    <col min="12035" max="12035" width="3.1640625" style="81" customWidth="1"/>
    <col min="12036" max="12040" width="15.83203125" style="81" customWidth="1"/>
    <col min="12041" max="12041" width="3.1640625" style="81" customWidth="1"/>
    <col min="12042" max="12288" width="9.33203125" style="81"/>
    <col min="12289" max="12289" width="3.1640625" style="81" customWidth="1"/>
    <col min="12290" max="12290" width="35.83203125" style="81" customWidth="1"/>
    <col min="12291" max="12291" width="3.1640625" style="81" customWidth="1"/>
    <col min="12292" max="12296" width="15.83203125" style="81" customWidth="1"/>
    <col min="12297" max="12297" width="3.1640625" style="81" customWidth="1"/>
    <col min="12298" max="12544" width="9.33203125" style="81"/>
    <col min="12545" max="12545" width="3.1640625" style="81" customWidth="1"/>
    <col min="12546" max="12546" width="35.83203125" style="81" customWidth="1"/>
    <col min="12547" max="12547" width="3.1640625" style="81" customWidth="1"/>
    <col min="12548" max="12552" width="15.83203125" style="81" customWidth="1"/>
    <col min="12553" max="12553" width="3.1640625" style="81" customWidth="1"/>
    <col min="12554" max="12800" width="9.33203125" style="81"/>
    <col min="12801" max="12801" width="3.1640625" style="81" customWidth="1"/>
    <col min="12802" max="12802" width="35.83203125" style="81" customWidth="1"/>
    <col min="12803" max="12803" width="3.1640625" style="81" customWidth="1"/>
    <col min="12804" max="12808" width="15.83203125" style="81" customWidth="1"/>
    <col min="12809" max="12809" width="3.1640625" style="81" customWidth="1"/>
    <col min="12810" max="13056" width="9.33203125" style="81"/>
    <col min="13057" max="13057" width="3.1640625" style="81" customWidth="1"/>
    <col min="13058" max="13058" width="35.83203125" style="81" customWidth="1"/>
    <col min="13059" max="13059" width="3.1640625" style="81" customWidth="1"/>
    <col min="13060" max="13064" width="15.83203125" style="81" customWidth="1"/>
    <col min="13065" max="13065" width="3.1640625" style="81" customWidth="1"/>
    <col min="13066" max="13312" width="9.33203125" style="81"/>
    <col min="13313" max="13313" width="3.1640625" style="81" customWidth="1"/>
    <col min="13314" max="13314" width="35.83203125" style="81" customWidth="1"/>
    <col min="13315" max="13315" width="3.1640625" style="81" customWidth="1"/>
    <col min="13316" max="13320" width="15.83203125" style="81" customWidth="1"/>
    <col min="13321" max="13321" width="3.1640625" style="81" customWidth="1"/>
    <col min="13322" max="13568" width="9.33203125" style="81"/>
    <col min="13569" max="13569" width="3.1640625" style="81" customWidth="1"/>
    <col min="13570" max="13570" width="35.83203125" style="81" customWidth="1"/>
    <col min="13571" max="13571" width="3.1640625" style="81" customWidth="1"/>
    <col min="13572" max="13576" width="15.83203125" style="81" customWidth="1"/>
    <col min="13577" max="13577" width="3.1640625" style="81" customWidth="1"/>
    <col min="13578" max="13824" width="9.33203125" style="81"/>
    <col min="13825" max="13825" width="3.1640625" style="81" customWidth="1"/>
    <col min="13826" max="13826" width="35.83203125" style="81" customWidth="1"/>
    <col min="13827" max="13827" width="3.1640625" style="81" customWidth="1"/>
    <col min="13828" max="13832" width="15.83203125" style="81" customWidth="1"/>
    <col min="13833" max="13833" width="3.1640625" style="81" customWidth="1"/>
    <col min="13834" max="14080" width="9.33203125" style="81"/>
    <col min="14081" max="14081" width="3.1640625" style="81" customWidth="1"/>
    <col min="14082" max="14082" width="35.83203125" style="81" customWidth="1"/>
    <col min="14083" max="14083" width="3.1640625" style="81" customWidth="1"/>
    <col min="14084" max="14088" width="15.83203125" style="81" customWidth="1"/>
    <col min="14089" max="14089" width="3.1640625" style="81" customWidth="1"/>
    <col min="14090" max="14336" width="9.33203125" style="81"/>
    <col min="14337" max="14337" width="3.1640625" style="81" customWidth="1"/>
    <col min="14338" max="14338" width="35.83203125" style="81" customWidth="1"/>
    <col min="14339" max="14339" width="3.1640625" style="81" customWidth="1"/>
    <col min="14340" max="14344" width="15.83203125" style="81" customWidth="1"/>
    <col min="14345" max="14345" width="3.1640625" style="81" customWidth="1"/>
    <col min="14346" max="14592" width="9.33203125" style="81"/>
    <col min="14593" max="14593" width="3.1640625" style="81" customWidth="1"/>
    <col min="14594" max="14594" width="35.83203125" style="81" customWidth="1"/>
    <col min="14595" max="14595" width="3.1640625" style="81" customWidth="1"/>
    <col min="14596" max="14600" width="15.83203125" style="81" customWidth="1"/>
    <col min="14601" max="14601" width="3.1640625" style="81" customWidth="1"/>
    <col min="14602" max="14848" width="9.33203125" style="81"/>
    <col min="14849" max="14849" width="3.1640625" style="81" customWidth="1"/>
    <col min="14850" max="14850" width="35.83203125" style="81" customWidth="1"/>
    <col min="14851" max="14851" width="3.1640625" style="81" customWidth="1"/>
    <col min="14852" max="14856" width="15.83203125" style="81" customWidth="1"/>
    <col min="14857" max="14857" width="3.1640625" style="81" customWidth="1"/>
    <col min="14858" max="15104" width="9.33203125" style="81"/>
    <col min="15105" max="15105" width="3.1640625" style="81" customWidth="1"/>
    <col min="15106" max="15106" width="35.83203125" style="81" customWidth="1"/>
    <col min="15107" max="15107" width="3.1640625" style="81" customWidth="1"/>
    <col min="15108" max="15112" width="15.83203125" style="81" customWidth="1"/>
    <col min="15113" max="15113" width="3.1640625" style="81" customWidth="1"/>
    <col min="15114" max="15360" width="9.33203125" style="81"/>
    <col min="15361" max="15361" width="3.1640625" style="81" customWidth="1"/>
    <col min="15362" max="15362" width="35.83203125" style="81" customWidth="1"/>
    <col min="15363" max="15363" width="3.1640625" style="81" customWidth="1"/>
    <col min="15364" max="15368" width="15.83203125" style="81" customWidth="1"/>
    <col min="15369" max="15369" width="3.1640625" style="81" customWidth="1"/>
    <col min="15370" max="15616" width="9.33203125" style="81"/>
    <col min="15617" max="15617" width="3.1640625" style="81" customWidth="1"/>
    <col min="15618" max="15618" width="35.83203125" style="81" customWidth="1"/>
    <col min="15619" max="15619" width="3.1640625" style="81" customWidth="1"/>
    <col min="15620" max="15624" width="15.83203125" style="81" customWidth="1"/>
    <col min="15625" max="15625" width="3.1640625" style="81" customWidth="1"/>
    <col min="15626" max="15872" width="9.33203125" style="81"/>
    <col min="15873" max="15873" width="3.1640625" style="81" customWidth="1"/>
    <col min="15874" max="15874" width="35.83203125" style="81" customWidth="1"/>
    <col min="15875" max="15875" width="3.1640625" style="81" customWidth="1"/>
    <col min="15876" max="15880" width="15.83203125" style="81" customWidth="1"/>
    <col min="15881" max="15881" width="3.1640625" style="81" customWidth="1"/>
    <col min="15882" max="16128" width="9.33203125" style="81"/>
    <col min="16129" max="16129" width="3.1640625" style="81" customWidth="1"/>
    <col min="16130" max="16130" width="35.83203125" style="81" customWidth="1"/>
    <col min="16131" max="16131" width="3.1640625" style="81" customWidth="1"/>
    <col min="16132" max="16136" width="15.83203125" style="81" customWidth="1"/>
    <col min="16137" max="16137" width="3.1640625" style="81" customWidth="1"/>
    <col min="16138" max="16384" width="9.33203125" style="81"/>
  </cols>
  <sheetData>
    <row r="1" spans="1:9" x14ac:dyDescent="0.2">
      <c r="A1" s="78"/>
      <c r="B1" s="79"/>
      <c r="C1" s="79"/>
      <c r="D1" s="79"/>
      <c r="E1" s="79"/>
      <c r="F1" s="79"/>
      <c r="G1" s="79"/>
      <c r="H1" s="79"/>
      <c r="I1" s="80"/>
    </row>
    <row r="2" spans="1:9" ht="16.5" customHeight="1" x14ac:dyDescent="0.3">
      <c r="A2" s="82"/>
      <c r="B2" s="183" t="s">
        <v>181</v>
      </c>
      <c r="C2" s="183"/>
      <c r="D2" s="183"/>
      <c r="E2" s="184"/>
      <c r="F2" s="184"/>
      <c r="G2" s="185"/>
      <c r="H2" s="185"/>
      <c r="I2" s="83"/>
    </row>
    <row r="3" spans="1:9" ht="12.75" customHeight="1" x14ac:dyDescent="0.2">
      <c r="A3" s="82"/>
      <c r="B3" s="105"/>
      <c r="C3" s="105"/>
      <c r="D3" s="105"/>
      <c r="E3" s="105"/>
      <c r="F3" s="105"/>
      <c r="G3" s="105"/>
      <c r="H3" s="105"/>
      <c r="I3" s="83"/>
    </row>
    <row r="4" spans="1:9" ht="12.75" customHeight="1" x14ac:dyDescent="0.2">
      <c r="A4" s="82"/>
      <c r="B4" s="181" t="s">
        <v>182</v>
      </c>
      <c r="C4" s="182"/>
      <c r="D4" s="182"/>
      <c r="E4" s="182"/>
      <c r="F4" s="182"/>
      <c r="G4" s="182"/>
      <c r="H4" s="182"/>
      <c r="I4" s="83"/>
    </row>
    <row r="5" spans="1:9" ht="12.75" customHeight="1" x14ac:dyDescent="0.2">
      <c r="A5" s="82"/>
      <c r="B5" s="182"/>
      <c r="C5" s="182"/>
      <c r="D5" s="182"/>
      <c r="E5" s="182"/>
      <c r="F5" s="182"/>
      <c r="G5" s="182"/>
      <c r="H5" s="182"/>
      <c r="I5" s="83"/>
    </row>
    <row r="6" spans="1:9" ht="12.75" customHeight="1" x14ac:dyDescent="0.2">
      <c r="A6" s="82"/>
      <c r="B6" s="105"/>
      <c r="C6" s="105"/>
      <c r="D6" s="105"/>
      <c r="E6" s="105"/>
      <c r="F6" s="105"/>
      <c r="G6" s="105"/>
      <c r="H6" s="105"/>
      <c r="I6" s="83"/>
    </row>
    <row r="7" spans="1:9" ht="12.75" customHeight="1" x14ac:dyDescent="0.2">
      <c r="A7" s="82"/>
      <c r="B7" s="181" t="s">
        <v>183</v>
      </c>
      <c r="C7" s="182"/>
      <c r="D7" s="182"/>
      <c r="E7" s="182"/>
      <c r="F7" s="182"/>
      <c r="G7" s="182"/>
      <c r="H7" s="182"/>
      <c r="I7" s="83"/>
    </row>
    <row r="8" spans="1:9" ht="12.75" customHeight="1" x14ac:dyDescent="0.2">
      <c r="A8" s="82"/>
      <c r="B8" s="182"/>
      <c r="C8" s="182"/>
      <c r="D8" s="182"/>
      <c r="E8" s="182"/>
      <c r="F8" s="182"/>
      <c r="G8" s="182"/>
      <c r="H8" s="182"/>
      <c r="I8" s="83"/>
    </row>
    <row r="9" spans="1:9" ht="12.75" customHeight="1" x14ac:dyDescent="0.2">
      <c r="A9" s="82"/>
      <c r="B9" s="182"/>
      <c r="C9" s="182"/>
      <c r="D9" s="182"/>
      <c r="E9" s="182"/>
      <c r="F9" s="182"/>
      <c r="G9" s="182"/>
      <c r="H9" s="182"/>
      <c r="I9" s="83"/>
    </row>
    <row r="10" spans="1:9" ht="12.75" customHeight="1" x14ac:dyDescent="0.2">
      <c r="A10" s="82"/>
      <c r="B10" s="105"/>
      <c r="C10" s="105"/>
      <c r="D10" s="105"/>
      <c r="E10" s="105"/>
      <c r="F10" s="105"/>
      <c r="G10" s="105"/>
      <c r="H10" s="105"/>
      <c r="I10" s="83"/>
    </row>
    <row r="11" spans="1:9" x14ac:dyDescent="0.2">
      <c r="A11" s="82"/>
      <c r="B11" s="84" t="s">
        <v>1</v>
      </c>
      <c r="C11" s="85"/>
      <c r="D11" s="86">
        <v>2014</v>
      </c>
      <c r="E11" s="86">
        <f>D11+1</f>
        <v>2015</v>
      </c>
      <c r="F11" s="86">
        <f>E11+1</f>
        <v>2016</v>
      </c>
      <c r="G11" s="86">
        <f>F11+1</f>
        <v>2017</v>
      </c>
      <c r="H11" s="86">
        <f>G11+1</f>
        <v>2018</v>
      </c>
      <c r="I11" s="83"/>
    </row>
    <row r="12" spans="1:9" x14ac:dyDescent="0.2">
      <c r="A12" s="82"/>
      <c r="B12" s="87" t="s">
        <v>5</v>
      </c>
      <c r="C12" s="87"/>
      <c r="D12" s="88">
        <v>1000000</v>
      </c>
      <c r="E12" s="88">
        <v>1000000</v>
      </c>
      <c r="F12" s="88">
        <v>1000000</v>
      </c>
      <c r="G12" s="88">
        <v>1000000</v>
      </c>
      <c r="H12" s="88">
        <v>1000000</v>
      </c>
      <c r="I12" s="83"/>
    </row>
    <row r="13" spans="1:9" x14ac:dyDescent="0.2">
      <c r="A13" s="82"/>
      <c r="B13" s="87" t="s">
        <v>6</v>
      </c>
      <c r="C13" s="87"/>
      <c r="D13" s="106">
        <v>12.8</v>
      </c>
      <c r="E13" s="89">
        <f>$D$13</f>
        <v>12.8</v>
      </c>
      <c r="F13" s="89">
        <f>$D$13</f>
        <v>12.8</v>
      </c>
      <c r="G13" s="89">
        <f>$D$13</f>
        <v>12.8</v>
      </c>
      <c r="H13" s="89">
        <f>$D$13</f>
        <v>12.8</v>
      </c>
      <c r="I13" s="83"/>
    </row>
    <row r="14" spans="1:9" x14ac:dyDescent="0.2">
      <c r="A14" s="82"/>
      <c r="B14" s="87" t="s">
        <v>7</v>
      </c>
      <c r="C14" s="87"/>
      <c r="D14" s="89">
        <v>9.6</v>
      </c>
      <c r="E14" s="89">
        <v>9.6</v>
      </c>
      <c r="F14" s="89">
        <v>9.6</v>
      </c>
      <c r="G14" s="89">
        <v>9.6</v>
      </c>
      <c r="H14" s="89">
        <v>9.6</v>
      </c>
      <c r="I14" s="83"/>
    </row>
    <row r="15" spans="1:9" x14ac:dyDescent="0.2">
      <c r="A15" s="82"/>
      <c r="B15" s="87" t="s">
        <v>156</v>
      </c>
      <c r="C15" s="87"/>
      <c r="D15" s="90">
        <v>0.29499999999999998</v>
      </c>
      <c r="E15" s="90">
        <v>0.29499999999999998</v>
      </c>
      <c r="F15" s="90">
        <v>0.29499999999999998</v>
      </c>
      <c r="G15" s="90">
        <v>0.29499999999999998</v>
      </c>
      <c r="H15" s="90">
        <v>0.29499999999999998</v>
      </c>
      <c r="I15" s="83"/>
    </row>
    <row r="16" spans="1:9" ht="14.25" customHeight="1" x14ac:dyDescent="0.2">
      <c r="A16" s="82"/>
      <c r="B16" s="87" t="s">
        <v>157</v>
      </c>
      <c r="C16" s="87"/>
      <c r="D16" s="107">
        <v>1</v>
      </c>
      <c r="E16" s="91">
        <f>$D$16</f>
        <v>1</v>
      </c>
      <c r="F16" s="91">
        <f>$D$16</f>
        <v>1</v>
      </c>
      <c r="G16" s="91">
        <f>$D$16</f>
        <v>1</v>
      </c>
      <c r="H16" s="91">
        <f>$D$16</f>
        <v>1</v>
      </c>
      <c r="I16" s="83"/>
    </row>
    <row r="17" spans="1:9" x14ac:dyDescent="0.2">
      <c r="A17" s="82"/>
      <c r="B17" s="87"/>
      <c r="C17" s="87"/>
      <c r="D17" s="89"/>
      <c r="E17" s="89"/>
      <c r="F17" s="89"/>
      <c r="G17" s="89"/>
      <c r="H17" s="89"/>
      <c r="I17" s="83"/>
    </row>
    <row r="18" spans="1:9" x14ac:dyDescent="0.2">
      <c r="A18" s="82"/>
      <c r="B18" s="84" t="s">
        <v>158</v>
      </c>
      <c r="C18" s="85"/>
      <c r="D18" s="86">
        <f>D11</f>
        <v>2014</v>
      </c>
      <c r="E18" s="86">
        <f>E11</f>
        <v>2015</v>
      </c>
      <c r="F18" s="86">
        <f>F11</f>
        <v>2016</v>
      </c>
      <c r="G18" s="86">
        <f>G11</f>
        <v>2017</v>
      </c>
      <c r="H18" s="86">
        <f>H11</f>
        <v>2018</v>
      </c>
      <c r="I18" s="83"/>
    </row>
    <row r="19" spans="1:9" x14ac:dyDescent="0.2">
      <c r="A19" s="82"/>
      <c r="B19" s="87" t="s">
        <v>8</v>
      </c>
      <c r="C19" s="87"/>
      <c r="D19" s="92">
        <f>D12*D13</f>
        <v>12800000</v>
      </c>
      <c r="E19" s="92">
        <f>E12*E13</f>
        <v>12800000</v>
      </c>
      <c r="F19" s="92">
        <f>F12*F13</f>
        <v>12800000</v>
      </c>
      <c r="G19" s="92">
        <f>G12*G13</f>
        <v>12800000</v>
      </c>
      <c r="H19" s="92">
        <f>H12*H13</f>
        <v>12800000</v>
      </c>
      <c r="I19" s="83"/>
    </row>
    <row r="20" spans="1:9" x14ac:dyDescent="0.2">
      <c r="A20" s="82"/>
      <c r="B20" s="93" t="s">
        <v>9</v>
      </c>
      <c r="C20" s="93"/>
      <c r="D20" s="88">
        <f>-D12*D14</f>
        <v>-9600000</v>
      </c>
      <c r="E20" s="88">
        <f>-E12*E14</f>
        <v>-9600000</v>
      </c>
      <c r="F20" s="88">
        <f>-F12*F14</f>
        <v>-9600000</v>
      </c>
      <c r="G20" s="88">
        <f>-G12*G14</f>
        <v>-9600000</v>
      </c>
      <c r="H20" s="88">
        <f>-H12*H14</f>
        <v>-9600000</v>
      </c>
      <c r="I20" s="83"/>
    </row>
    <row r="21" spans="1:9" x14ac:dyDescent="0.2">
      <c r="A21" s="82"/>
      <c r="B21" s="93" t="s">
        <v>10</v>
      </c>
      <c r="C21" s="93"/>
      <c r="D21" s="88">
        <v>-890000</v>
      </c>
      <c r="E21" s="88">
        <v>-890000</v>
      </c>
      <c r="F21" s="88">
        <v>-890000</v>
      </c>
      <c r="G21" s="88">
        <v>-890000</v>
      </c>
      <c r="H21" s="88">
        <v>-890000</v>
      </c>
      <c r="I21" s="83"/>
    </row>
    <row r="22" spans="1:9" x14ac:dyDescent="0.2">
      <c r="A22" s="82"/>
      <c r="B22" s="93" t="s">
        <v>2</v>
      </c>
      <c r="C22" s="93"/>
      <c r="D22" s="94">
        <v>-600000</v>
      </c>
      <c r="E22" s="94">
        <v>-600000</v>
      </c>
      <c r="F22" s="94">
        <v>-600000</v>
      </c>
      <c r="G22" s="94">
        <v>-600000</v>
      </c>
      <c r="H22" s="94">
        <v>-600000</v>
      </c>
      <c r="I22" s="83"/>
    </row>
    <row r="23" spans="1:9" ht="13.5" customHeight="1" x14ac:dyDescent="0.2">
      <c r="A23" s="82"/>
      <c r="B23" s="87" t="s">
        <v>11</v>
      </c>
      <c r="C23" s="87"/>
      <c r="D23" s="92">
        <f>SUM(D19:D22)</f>
        <v>1710000</v>
      </c>
      <c r="E23" s="92">
        <f>SUM(E19:E22)</f>
        <v>1710000</v>
      </c>
      <c r="F23" s="92">
        <f>SUM(F19:F22)</f>
        <v>1710000</v>
      </c>
      <c r="G23" s="92">
        <f>SUM(G19:G22)</f>
        <v>1710000</v>
      </c>
      <c r="H23" s="92">
        <f>SUM(H19:H22)</f>
        <v>1710000</v>
      </c>
      <c r="I23" s="83"/>
    </row>
    <row r="24" spans="1:9" x14ac:dyDescent="0.2">
      <c r="A24" s="82"/>
      <c r="B24" s="93" t="s">
        <v>12</v>
      </c>
      <c r="C24" s="93"/>
      <c r="D24" s="94">
        <f>-D15*D23</f>
        <v>-504450</v>
      </c>
      <c r="E24" s="94">
        <f>-E15*E23</f>
        <v>-504450</v>
      </c>
      <c r="F24" s="94">
        <f>-F15*F23</f>
        <v>-504450</v>
      </c>
      <c r="G24" s="94">
        <f>-G15*G23</f>
        <v>-504450</v>
      </c>
      <c r="H24" s="94">
        <f>-H15*H23</f>
        <v>-504450</v>
      </c>
      <c r="I24" s="83"/>
    </row>
    <row r="25" spans="1:9" ht="13.5" customHeight="1" x14ac:dyDescent="0.2">
      <c r="A25" s="82"/>
      <c r="B25" s="95" t="s">
        <v>159</v>
      </c>
      <c r="C25" s="95"/>
      <c r="D25" s="92">
        <f>D23+D24</f>
        <v>1205550</v>
      </c>
      <c r="E25" s="92">
        <f>E23+E24</f>
        <v>1205550</v>
      </c>
      <c r="F25" s="92">
        <f>F23+F24</f>
        <v>1205550</v>
      </c>
      <c r="G25" s="92">
        <f>G23+G24</f>
        <v>1205550</v>
      </c>
      <c r="H25" s="92">
        <f>H23+H24</f>
        <v>1205550</v>
      </c>
      <c r="I25" s="83"/>
    </row>
    <row r="26" spans="1:9" ht="13.5" customHeight="1" x14ac:dyDescent="0.2">
      <c r="A26" s="82"/>
      <c r="B26" s="95"/>
      <c r="C26" s="95"/>
      <c r="D26" s="92"/>
      <c r="E26" s="92"/>
      <c r="F26" s="92"/>
      <c r="G26" s="92"/>
      <c r="H26" s="92"/>
      <c r="I26" s="83"/>
    </row>
    <row r="27" spans="1:9" ht="13.5" customHeight="1" x14ac:dyDescent="0.2">
      <c r="A27" s="82"/>
      <c r="B27" s="84" t="s">
        <v>160</v>
      </c>
      <c r="C27" s="95"/>
      <c r="D27" s="92"/>
      <c r="E27" s="92"/>
      <c r="F27" s="92"/>
      <c r="G27" s="92"/>
      <c r="H27" s="92"/>
      <c r="I27" s="83"/>
    </row>
    <row r="28" spans="1:9" ht="13.5" customHeight="1" x14ac:dyDescent="0.2">
      <c r="A28" s="82"/>
      <c r="B28" s="95" t="s">
        <v>159</v>
      </c>
      <c r="C28" s="95"/>
      <c r="D28" s="92">
        <f>D25</f>
        <v>1205550</v>
      </c>
      <c r="E28" s="92">
        <f>E25</f>
        <v>1205550</v>
      </c>
      <c r="F28" s="92">
        <f>F25</f>
        <v>1205550</v>
      </c>
      <c r="G28" s="92">
        <f>G25</f>
        <v>1205550</v>
      </c>
      <c r="H28" s="92">
        <f>H25</f>
        <v>1205550</v>
      </c>
      <c r="I28" s="83"/>
    </row>
    <row r="29" spans="1:9" ht="13.5" customHeight="1" x14ac:dyDescent="0.2">
      <c r="A29" s="82"/>
      <c r="B29" s="95" t="s">
        <v>13</v>
      </c>
      <c r="C29" s="95"/>
      <c r="D29" s="88">
        <f>-D22</f>
        <v>600000</v>
      </c>
      <c r="E29" s="88">
        <f>-E22</f>
        <v>600000</v>
      </c>
      <c r="F29" s="88">
        <f>-F22</f>
        <v>600000</v>
      </c>
      <c r="G29" s="88">
        <f>-G22</f>
        <v>600000</v>
      </c>
      <c r="H29" s="88">
        <f>-H22</f>
        <v>600000</v>
      </c>
      <c r="I29" s="83"/>
    </row>
    <row r="30" spans="1:9" ht="13.5" customHeight="1" x14ac:dyDescent="0.2">
      <c r="A30" s="82"/>
      <c r="B30" s="95" t="s">
        <v>161</v>
      </c>
      <c r="C30" s="95"/>
      <c r="D30" s="94">
        <f>D48-((D41*D39)+(D43*D40)-(D45*D39))</f>
        <v>-0.15068493131548166</v>
      </c>
      <c r="E30" s="94">
        <f>E48-((E41*E39)+(E43*E40)-(E45*E39))</f>
        <v>-0.15068493131548166</v>
      </c>
      <c r="F30" s="94">
        <f>F48-((F41*F39)+(F43*F40)-(F45*F39))</f>
        <v>-0.15068493131548166</v>
      </c>
      <c r="G30" s="94">
        <f>G48-((G41*G39)+(G43*G40)-(G45*G39))</f>
        <v>-0.15068493131548166</v>
      </c>
      <c r="H30" s="94">
        <f>H48-((H41*H39)+(H43*H40)-(H45*H39))</f>
        <v>-0.15068493131548166</v>
      </c>
      <c r="I30" s="83"/>
    </row>
    <row r="31" spans="1:9" ht="13.5" customHeight="1" x14ac:dyDescent="0.2">
      <c r="A31" s="82"/>
      <c r="B31" s="95" t="s">
        <v>162</v>
      </c>
      <c r="C31" s="95"/>
      <c r="D31" s="92">
        <f>SUM(D28:D30)</f>
        <v>1805549.8493150687</v>
      </c>
      <c r="E31" s="92">
        <f>SUM(E28:E30)</f>
        <v>1805549.8493150687</v>
      </c>
      <c r="F31" s="92">
        <f>SUM(F28:F30)</f>
        <v>1805549.8493150687</v>
      </c>
      <c r="G31" s="92">
        <f>SUM(G28:G30)</f>
        <v>1805549.8493150687</v>
      </c>
      <c r="H31" s="92">
        <f>SUM(H28:H30)</f>
        <v>1805549.8493150687</v>
      </c>
      <c r="I31" s="83"/>
    </row>
    <row r="32" spans="1:9" ht="13.5" customHeight="1" x14ac:dyDescent="0.2">
      <c r="A32" s="82"/>
      <c r="B32" s="95"/>
      <c r="C32" s="95"/>
      <c r="D32" s="92"/>
      <c r="E32" s="92"/>
      <c r="F32" s="92"/>
      <c r="G32" s="92"/>
      <c r="H32" s="92"/>
      <c r="I32" s="83"/>
    </row>
    <row r="33" spans="1:9" x14ac:dyDescent="0.2">
      <c r="A33" s="82"/>
      <c r="B33" s="95" t="s">
        <v>14</v>
      </c>
      <c r="C33" s="95"/>
      <c r="D33" s="96">
        <f>D31*D16</f>
        <v>1805549.8493150687</v>
      </c>
      <c r="E33" s="96">
        <f>E31*E16</f>
        <v>1805549.8493150687</v>
      </c>
      <c r="F33" s="96">
        <f>F31*F16</f>
        <v>1805549.8493150687</v>
      </c>
      <c r="G33" s="96">
        <f>G31*G16</f>
        <v>1805549.8493150687</v>
      </c>
      <c r="H33" s="96">
        <f>H31*H16</f>
        <v>1805549.8493150687</v>
      </c>
      <c r="I33" s="83"/>
    </row>
    <row r="34" spans="1:9" ht="13.5" thickBot="1" x14ac:dyDescent="0.25">
      <c r="A34" s="82"/>
      <c r="B34" s="95"/>
      <c r="C34" s="95"/>
      <c r="D34" s="97"/>
      <c r="E34" s="98"/>
      <c r="F34" s="98"/>
      <c r="G34" s="98"/>
      <c r="H34" s="98"/>
      <c r="I34" s="83"/>
    </row>
    <row r="35" spans="1:9" ht="13.5" thickBot="1" x14ac:dyDescent="0.25">
      <c r="A35" s="82"/>
      <c r="B35" s="95" t="s">
        <v>163</v>
      </c>
      <c r="C35" s="95"/>
      <c r="D35" s="113">
        <f>NPV(0.15,D33:H33)</f>
        <v>6052483.132095227</v>
      </c>
      <c r="E35" s="96"/>
      <c r="F35" s="96"/>
      <c r="G35" s="96"/>
      <c r="H35" s="96"/>
      <c r="I35" s="83"/>
    </row>
    <row r="36" spans="1:9" ht="13.5" thickBot="1" x14ac:dyDescent="0.25">
      <c r="A36" s="99"/>
      <c r="B36" s="100"/>
      <c r="C36" s="100"/>
      <c r="D36" s="101"/>
      <c r="E36" s="101"/>
      <c r="F36" s="101"/>
      <c r="G36" s="101"/>
      <c r="H36" s="101"/>
      <c r="I36" s="102"/>
    </row>
    <row r="37" spans="1:9" x14ac:dyDescent="0.2">
      <c r="A37" s="78"/>
      <c r="B37" s="109"/>
      <c r="C37" s="109"/>
      <c r="D37" s="110"/>
      <c r="E37" s="110"/>
      <c r="F37" s="110"/>
      <c r="G37" s="110"/>
      <c r="H37" s="110"/>
      <c r="I37" s="80"/>
    </row>
    <row r="38" spans="1:9" x14ac:dyDescent="0.2">
      <c r="A38" s="82"/>
      <c r="B38" s="84" t="s">
        <v>164</v>
      </c>
      <c r="C38" s="95"/>
      <c r="D38" s="103"/>
      <c r="E38" s="103"/>
      <c r="F38" s="103"/>
      <c r="G38" s="103"/>
      <c r="H38" s="103"/>
      <c r="I38" s="83"/>
    </row>
    <row r="39" spans="1:9" x14ac:dyDescent="0.2">
      <c r="A39" s="82"/>
      <c r="B39" s="95" t="s">
        <v>165</v>
      </c>
      <c r="C39" s="95"/>
      <c r="D39" s="92">
        <f>D19/365</f>
        <v>35068.493150684932</v>
      </c>
      <c r="E39" s="92">
        <f>E19/365</f>
        <v>35068.493150684932</v>
      </c>
      <c r="F39" s="92">
        <f>F19/365</f>
        <v>35068.493150684932</v>
      </c>
      <c r="G39" s="92">
        <f>G19/365</f>
        <v>35068.493150684932</v>
      </c>
      <c r="H39" s="92">
        <f>H19/365</f>
        <v>35068.493150684932</v>
      </c>
      <c r="I39" s="83"/>
    </row>
    <row r="40" spans="1:9" x14ac:dyDescent="0.2">
      <c r="A40" s="82"/>
      <c r="B40" s="95" t="s">
        <v>166</v>
      </c>
      <c r="C40" s="95"/>
      <c r="D40" s="92">
        <f>-D20/365</f>
        <v>26301.369863013697</v>
      </c>
      <c r="E40" s="92">
        <f>-E20/365</f>
        <v>26301.369863013697</v>
      </c>
      <c r="F40" s="92">
        <f>-F20/365</f>
        <v>26301.369863013697</v>
      </c>
      <c r="G40" s="92">
        <f>-G20/365</f>
        <v>26301.369863013697</v>
      </c>
      <c r="H40" s="92">
        <f>-H20/365</f>
        <v>26301.369863013697</v>
      </c>
      <c r="I40" s="83"/>
    </row>
    <row r="41" spans="1:9" ht="13.5" customHeight="1" x14ac:dyDescent="0.2">
      <c r="A41" s="82"/>
      <c r="B41" s="95" t="s">
        <v>167</v>
      </c>
      <c r="C41" s="95"/>
      <c r="D41" s="104">
        <v>45</v>
      </c>
      <c r="E41" s="104">
        <v>45</v>
      </c>
      <c r="F41" s="104">
        <v>45</v>
      </c>
      <c r="G41" s="104">
        <v>45</v>
      </c>
      <c r="H41" s="104">
        <v>45</v>
      </c>
      <c r="I41" s="83"/>
    </row>
    <row r="42" spans="1:9" ht="13.5" customHeight="1" x14ac:dyDescent="0.2">
      <c r="A42" s="82"/>
      <c r="B42" s="95" t="s">
        <v>168</v>
      </c>
      <c r="C42" s="95"/>
      <c r="D42" s="104">
        <f>D41*D39</f>
        <v>1578082.1917808219</v>
      </c>
      <c r="E42" s="104">
        <f>E41*E39</f>
        <v>1578082.1917808219</v>
      </c>
      <c r="F42" s="104">
        <f>F41*F39</f>
        <v>1578082.1917808219</v>
      </c>
      <c r="G42" s="104">
        <f>G41*G39</f>
        <v>1578082.1917808219</v>
      </c>
      <c r="H42" s="104">
        <f>H41*H39</f>
        <v>1578082.1917808219</v>
      </c>
      <c r="I42" s="83"/>
    </row>
    <row r="43" spans="1:9" x14ac:dyDescent="0.2">
      <c r="A43" s="82"/>
      <c r="B43" s="95" t="s">
        <v>169</v>
      </c>
      <c r="C43" s="95"/>
      <c r="D43" s="104">
        <v>10</v>
      </c>
      <c r="E43" s="104">
        <v>10</v>
      </c>
      <c r="F43" s="104">
        <v>10</v>
      </c>
      <c r="G43" s="104">
        <v>10</v>
      </c>
      <c r="H43" s="104">
        <v>10</v>
      </c>
      <c r="I43" s="83"/>
    </row>
    <row r="44" spans="1:9" x14ac:dyDescent="0.2">
      <c r="A44" s="82"/>
      <c r="B44" s="95" t="s">
        <v>170</v>
      </c>
      <c r="C44" s="95"/>
      <c r="D44" s="104">
        <f>D43*D40</f>
        <v>263013.69863013696</v>
      </c>
      <c r="E44" s="104">
        <f>E43*E40</f>
        <v>263013.69863013696</v>
      </c>
      <c r="F44" s="104">
        <f>F43*F40</f>
        <v>263013.69863013696</v>
      </c>
      <c r="G44" s="104">
        <f>G43*G40</f>
        <v>263013.69863013696</v>
      </c>
      <c r="H44" s="104">
        <f>H43*H40</f>
        <v>263013.69863013696</v>
      </c>
      <c r="I44" s="83"/>
    </row>
    <row r="45" spans="1:9" ht="13.5" customHeight="1" x14ac:dyDescent="0.2">
      <c r="A45" s="82"/>
      <c r="B45" s="95" t="s">
        <v>171</v>
      </c>
      <c r="C45" s="95"/>
      <c r="D45" s="104">
        <v>38</v>
      </c>
      <c r="E45" s="104">
        <v>38</v>
      </c>
      <c r="F45" s="104">
        <v>38</v>
      </c>
      <c r="G45" s="104">
        <v>38</v>
      </c>
      <c r="H45" s="104">
        <v>38</v>
      </c>
      <c r="I45" s="83"/>
    </row>
    <row r="46" spans="1:9" ht="13.5" customHeight="1" x14ac:dyDescent="0.2">
      <c r="A46" s="82"/>
      <c r="B46" s="95" t="s">
        <v>172</v>
      </c>
      <c r="C46" s="95"/>
      <c r="D46" s="104">
        <f>D45*D39</f>
        <v>1332602.7397260275</v>
      </c>
      <c r="E46" s="104">
        <f>E45*E39</f>
        <v>1332602.7397260275</v>
      </c>
      <c r="F46" s="104">
        <f>F45*F39</f>
        <v>1332602.7397260275</v>
      </c>
      <c r="G46" s="104">
        <f>G45*G39</f>
        <v>1332602.7397260275</v>
      </c>
      <c r="H46" s="104">
        <f>H45*H39</f>
        <v>1332602.7397260275</v>
      </c>
      <c r="I46" s="83"/>
    </row>
    <row r="47" spans="1:9" ht="13.5" customHeight="1" x14ac:dyDescent="0.2">
      <c r="A47" s="82"/>
      <c r="B47" s="95" t="s">
        <v>173</v>
      </c>
      <c r="C47" s="95"/>
      <c r="D47" s="104">
        <f>D42+D44-D46</f>
        <v>508493.15068493132</v>
      </c>
      <c r="E47" s="104">
        <f>E42+E44-E46</f>
        <v>508493.15068493132</v>
      </c>
      <c r="F47" s="104">
        <f>F42+F44-F46</f>
        <v>508493.15068493132</v>
      </c>
      <c r="G47" s="104">
        <f>G42+G44-G46</f>
        <v>508493.15068493132</v>
      </c>
      <c r="H47" s="104">
        <f>H42+H44-H46</f>
        <v>508493.15068493132</v>
      </c>
      <c r="I47" s="83"/>
    </row>
    <row r="48" spans="1:9" x14ac:dyDescent="0.2">
      <c r="A48" s="82"/>
      <c r="B48" s="95" t="s">
        <v>174</v>
      </c>
      <c r="C48" s="95"/>
      <c r="D48" s="104">
        <v>508493</v>
      </c>
      <c r="E48" s="104">
        <v>508493</v>
      </c>
      <c r="F48" s="104">
        <v>508493</v>
      </c>
      <c r="G48" s="104">
        <v>508493</v>
      </c>
      <c r="H48" s="104">
        <v>508493</v>
      </c>
      <c r="I48" s="83"/>
    </row>
    <row r="49" spans="1:9" ht="13.5" thickBot="1" x14ac:dyDescent="0.25">
      <c r="A49" s="99"/>
      <c r="B49" s="100"/>
      <c r="C49" s="100"/>
      <c r="D49" s="111"/>
      <c r="E49" s="112"/>
      <c r="F49" s="112"/>
      <c r="G49" s="112"/>
      <c r="H49" s="112"/>
      <c r="I49" s="102"/>
    </row>
  </sheetData>
  <mergeCells count="3">
    <mergeCell ref="B4:H5"/>
    <mergeCell ref="B7:H9"/>
    <mergeCell ref="B2:H2"/>
  </mergeCells>
  <printOptions horizontalCentered="1"/>
  <pageMargins left="0.7" right="0.7" top="0.75" bottom="0.75" header="0.3" footer="0.3"/>
  <pageSetup scale="81"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heetViews>
  <sheetFormatPr defaultRowHeight="12.75" x14ac:dyDescent="0.2"/>
  <cols>
    <col min="1" max="1" width="3.1640625" style="81" customWidth="1"/>
    <col min="2" max="2" width="35.83203125" style="81" customWidth="1"/>
    <col min="3" max="3" width="3.1640625" style="81" customWidth="1"/>
    <col min="4" max="8" width="15.83203125" style="81" customWidth="1"/>
    <col min="9" max="9" width="3.1640625" style="81" customWidth="1"/>
    <col min="10" max="256" width="9.33203125" style="81"/>
    <col min="257" max="257" width="3.1640625" style="81" customWidth="1"/>
    <col min="258" max="258" width="35.83203125" style="81" customWidth="1"/>
    <col min="259" max="259" width="3.1640625" style="81" customWidth="1"/>
    <col min="260" max="264" width="15.83203125" style="81" customWidth="1"/>
    <col min="265" max="265" width="3.1640625" style="81" customWidth="1"/>
    <col min="266" max="512" width="9.33203125" style="81"/>
    <col min="513" max="513" width="3.1640625" style="81" customWidth="1"/>
    <col min="514" max="514" width="35.83203125" style="81" customWidth="1"/>
    <col min="515" max="515" width="3.1640625" style="81" customWidth="1"/>
    <col min="516" max="520" width="15.83203125" style="81" customWidth="1"/>
    <col min="521" max="521" width="3.1640625" style="81" customWidth="1"/>
    <col min="522" max="768" width="9.33203125" style="81"/>
    <col min="769" max="769" width="3.1640625" style="81" customWidth="1"/>
    <col min="770" max="770" width="35.83203125" style="81" customWidth="1"/>
    <col min="771" max="771" width="3.1640625" style="81" customWidth="1"/>
    <col min="772" max="776" width="15.83203125" style="81" customWidth="1"/>
    <col min="777" max="777" width="3.1640625" style="81" customWidth="1"/>
    <col min="778" max="1024" width="9.33203125" style="81"/>
    <col min="1025" max="1025" width="3.1640625" style="81" customWidth="1"/>
    <col min="1026" max="1026" width="35.83203125" style="81" customWidth="1"/>
    <col min="1027" max="1027" width="3.1640625" style="81" customWidth="1"/>
    <col min="1028" max="1032" width="15.83203125" style="81" customWidth="1"/>
    <col min="1033" max="1033" width="3.1640625" style="81" customWidth="1"/>
    <col min="1034" max="1280" width="9.33203125" style="81"/>
    <col min="1281" max="1281" width="3.1640625" style="81" customWidth="1"/>
    <col min="1282" max="1282" width="35.83203125" style="81" customWidth="1"/>
    <col min="1283" max="1283" width="3.1640625" style="81" customWidth="1"/>
    <col min="1284" max="1288" width="15.83203125" style="81" customWidth="1"/>
    <col min="1289" max="1289" width="3.1640625" style="81" customWidth="1"/>
    <col min="1290" max="1536" width="9.33203125" style="81"/>
    <col min="1537" max="1537" width="3.1640625" style="81" customWidth="1"/>
    <col min="1538" max="1538" width="35.83203125" style="81" customWidth="1"/>
    <col min="1539" max="1539" width="3.1640625" style="81" customWidth="1"/>
    <col min="1540" max="1544" width="15.83203125" style="81" customWidth="1"/>
    <col min="1545" max="1545" width="3.1640625" style="81" customWidth="1"/>
    <col min="1546" max="1792" width="9.33203125" style="81"/>
    <col min="1793" max="1793" width="3.1640625" style="81" customWidth="1"/>
    <col min="1794" max="1794" width="35.83203125" style="81" customWidth="1"/>
    <col min="1795" max="1795" width="3.1640625" style="81" customWidth="1"/>
    <col min="1796" max="1800" width="15.83203125" style="81" customWidth="1"/>
    <col min="1801" max="1801" width="3.1640625" style="81" customWidth="1"/>
    <col min="1802" max="2048" width="9.33203125" style="81"/>
    <col min="2049" max="2049" width="3.1640625" style="81" customWidth="1"/>
    <col min="2050" max="2050" width="35.83203125" style="81" customWidth="1"/>
    <col min="2051" max="2051" width="3.1640625" style="81" customWidth="1"/>
    <col min="2052" max="2056" width="15.83203125" style="81" customWidth="1"/>
    <col min="2057" max="2057" width="3.1640625" style="81" customWidth="1"/>
    <col min="2058" max="2304" width="9.33203125" style="81"/>
    <col min="2305" max="2305" width="3.1640625" style="81" customWidth="1"/>
    <col min="2306" max="2306" width="35.83203125" style="81" customWidth="1"/>
    <col min="2307" max="2307" width="3.1640625" style="81" customWidth="1"/>
    <col min="2308" max="2312" width="15.83203125" style="81" customWidth="1"/>
    <col min="2313" max="2313" width="3.1640625" style="81" customWidth="1"/>
    <col min="2314" max="2560" width="9.33203125" style="81"/>
    <col min="2561" max="2561" width="3.1640625" style="81" customWidth="1"/>
    <col min="2562" max="2562" width="35.83203125" style="81" customWidth="1"/>
    <col min="2563" max="2563" width="3.1640625" style="81" customWidth="1"/>
    <col min="2564" max="2568" width="15.83203125" style="81" customWidth="1"/>
    <col min="2569" max="2569" width="3.1640625" style="81" customWidth="1"/>
    <col min="2570" max="2816" width="9.33203125" style="81"/>
    <col min="2817" max="2817" width="3.1640625" style="81" customWidth="1"/>
    <col min="2818" max="2818" width="35.83203125" style="81" customWidth="1"/>
    <col min="2819" max="2819" width="3.1640625" style="81" customWidth="1"/>
    <col min="2820" max="2824" width="15.83203125" style="81" customWidth="1"/>
    <col min="2825" max="2825" width="3.1640625" style="81" customWidth="1"/>
    <col min="2826" max="3072" width="9.33203125" style="81"/>
    <col min="3073" max="3073" width="3.1640625" style="81" customWidth="1"/>
    <col min="3074" max="3074" width="35.83203125" style="81" customWidth="1"/>
    <col min="3075" max="3075" width="3.1640625" style="81" customWidth="1"/>
    <col min="3076" max="3080" width="15.83203125" style="81" customWidth="1"/>
    <col min="3081" max="3081" width="3.1640625" style="81" customWidth="1"/>
    <col min="3082" max="3328" width="9.33203125" style="81"/>
    <col min="3329" max="3329" width="3.1640625" style="81" customWidth="1"/>
    <col min="3330" max="3330" width="35.83203125" style="81" customWidth="1"/>
    <col min="3331" max="3331" width="3.1640625" style="81" customWidth="1"/>
    <col min="3332" max="3336" width="15.83203125" style="81" customWidth="1"/>
    <col min="3337" max="3337" width="3.1640625" style="81" customWidth="1"/>
    <col min="3338" max="3584" width="9.33203125" style="81"/>
    <col min="3585" max="3585" width="3.1640625" style="81" customWidth="1"/>
    <col min="3586" max="3586" width="35.83203125" style="81" customWidth="1"/>
    <col min="3587" max="3587" width="3.1640625" style="81" customWidth="1"/>
    <col min="3588" max="3592" width="15.83203125" style="81" customWidth="1"/>
    <col min="3593" max="3593" width="3.1640625" style="81" customWidth="1"/>
    <col min="3594" max="3840" width="9.33203125" style="81"/>
    <col min="3841" max="3841" width="3.1640625" style="81" customWidth="1"/>
    <col min="3842" max="3842" width="35.83203125" style="81" customWidth="1"/>
    <col min="3843" max="3843" width="3.1640625" style="81" customWidth="1"/>
    <col min="3844" max="3848" width="15.83203125" style="81" customWidth="1"/>
    <col min="3849" max="3849" width="3.1640625" style="81" customWidth="1"/>
    <col min="3850" max="4096" width="9.33203125" style="81"/>
    <col min="4097" max="4097" width="3.1640625" style="81" customWidth="1"/>
    <col min="4098" max="4098" width="35.83203125" style="81" customWidth="1"/>
    <col min="4099" max="4099" width="3.1640625" style="81" customWidth="1"/>
    <col min="4100" max="4104" width="15.83203125" style="81" customWidth="1"/>
    <col min="4105" max="4105" width="3.1640625" style="81" customWidth="1"/>
    <col min="4106" max="4352" width="9.33203125" style="81"/>
    <col min="4353" max="4353" width="3.1640625" style="81" customWidth="1"/>
    <col min="4354" max="4354" width="35.83203125" style="81" customWidth="1"/>
    <col min="4355" max="4355" width="3.1640625" style="81" customWidth="1"/>
    <col min="4356" max="4360" width="15.83203125" style="81" customWidth="1"/>
    <col min="4361" max="4361" width="3.1640625" style="81" customWidth="1"/>
    <col min="4362" max="4608" width="9.33203125" style="81"/>
    <col min="4609" max="4609" width="3.1640625" style="81" customWidth="1"/>
    <col min="4610" max="4610" width="35.83203125" style="81" customWidth="1"/>
    <col min="4611" max="4611" width="3.1640625" style="81" customWidth="1"/>
    <col min="4612" max="4616" width="15.83203125" style="81" customWidth="1"/>
    <col min="4617" max="4617" width="3.1640625" style="81" customWidth="1"/>
    <col min="4618" max="4864" width="9.33203125" style="81"/>
    <col min="4865" max="4865" width="3.1640625" style="81" customWidth="1"/>
    <col min="4866" max="4866" width="35.83203125" style="81" customWidth="1"/>
    <col min="4867" max="4867" width="3.1640625" style="81" customWidth="1"/>
    <col min="4868" max="4872" width="15.83203125" style="81" customWidth="1"/>
    <col min="4873" max="4873" width="3.1640625" style="81" customWidth="1"/>
    <col min="4874" max="5120" width="9.33203125" style="81"/>
    <col min="5121" max="5121" width="3.1640625" style="81" customWidth="1"/>
    <col min="5122" max="5122" width="35.83203125" style="81" customWidth="1"/>
    <col min="5123" max="5123" width="3.1640625" style="81" customWidth="1"/>
    <col min="5124" max="5128" width="15.83203125" style="81" customWidth="1"/>
    <col min="5129" max="5129" width="3.1640625" style="81" customWidth="1"/>
    <col min="5130" max="5376" width="9.33203125" style="81"/>
    <col min="5377" max="5377" width="3.1640625" style="81" customWidth="1"/>
    <col min="5378" max="5378" width="35.83203125" style="81" customWidth="1"/>
    <col min="5379" max="5379" width="3.1640625" style="81" customWidth="1"/>
    <col min="5380" max="5384" width="15.83203125" style="81" customWidth="1"/>
    <col min="5385" max="5385" width="3.1640625" style="81" customWidth="1"/>
    <col min="5386" max="5632" width="9.33203125" style="81"/>
    <col min="5633" max="5633" width="3.1640625" style="81" customWidth="1"/>
    <col min="5634" max="5634" width="35.83203125" style="81" customWidth="1"/>
    <col min="5635" max="5635" width="3.1640625" style="81" customWidth="1"/>
    <col min="5636" max="5640" width="15.83203125" style="81" customWidth="1"/>
    <col min="5641" max="5641" width="3.1640625" style="81" customWidth="1"/>
    <col min="5642" max="5888" width="9.33203125" style="81"/>
    <col min="5889" max="5889" width="3.1640625" style="81" customWidth="1"/>
    <col min="5890" max="5890" width="35.83203125" style="81" customWidth="1"/>
    <col min="5891" max="5891" width="3.1640625" style="81" customWidth="1"/>
    <col min="5892" max="5896" width="15.83203125" style="81" customWidth="1"/>
    <col min="5897" max="5897" width="3.1640625" style="81" customWidth="1"/>
    <col min="5898" max="6144" width="9.33203125" style="81"/>
    <col min="6145" max="6145" width="3.1640625" style="81" customWidth="1"/>
    <col min="6146" max="6146" width="35.83203125" style="81" customWidth="1"/>
    <col min="6147" max="6147" width="3.1640625" style="81" customWidth="1"/>
    <col min="6148" max="6152" width="15.83203125" style="81" customWidth="1"/>
    <col min="6153" max="6153" width="3.1640625" style="81" customWidth="1"/>
    <col min="6154" max="6400" width="9.33203125" style="81"/>
    <col min="6401" max="6401" width="3.1640625" style="81" customWidth="1"/>
    <col min="6402" max="6402" width="35.83203125" style="81" customWidth="1"/>
    <col min="6403" max="6403" width="3.1640625" style="81" customWidth="1"/>
    <col min="6404" max="6408" width="15.83203125" style="81" customWidth="1"/>
    <col min="6409" max="6409" width="3.1640625" style="81" customWidth="1"/>
    <col min="6410" max="6656" width="9.33203125" style="81"/>
    <col min="6657" max="6657" width="3.1640625" style="81" customWidth="1"/>
    <col min="6658" max="6658" width="35.83203125" style="81" customWidth="1"/>
    <col min="6659" max="6659" width="3.1640625" style="81" customWidth="1"/>
    <col min="6660" max="6664" width="15.83203125" style="81" customWidth="1"/>
    <col min="6665" max="6665" width="3.1640625" style="81" customWidth="1"/>
    <col min="6666" max="6912" width="9.33203125" style="81"/>
    <col min="6913" max="6913" width="3.1640625" style="81" customWidth="1"/>
    <col min="6914" max="6914" width="35.83203125" style="81" customWidth="1"/>
    <col min="6915" max="6915" width="3.1640625" style="81" customWidth="1"/>
    <col min="6916" max="6920" width="15.83203125" style="81" customWidth="1"/>
    <col min="6921" max="6921" width="3.1640625" style="81" customWidth="1"/>
    <col min="6922" max="7168" width="9.33203125" style="81"/>
    <col min="7169" max="7169" width="3.1640625" style="81" customWidth="1"/>
    <col min="7170" max="7170" width="35.83203125" style="81" customWidth="1"/>
    <col min="7171" max="7171" width="3.1640625" style="81" customWidth="1"/>
    <col min="7172" max="7176" width="15.83203125" style="81" customWidth="1"/>
    <col min="7177" max="7177" width="3.1640625" style="81" customWidth="1"/>
    <col min="7178" max="7424" width="9.33203125" style="81"/>
    <col min="7425" max="7425" width="3.1640625" style="81" customWidth="1"/>
    <col min="7426" max="7426" width="35.83203125" style="81" customWidth="1"/>
    <col min="7427" max="7427" width="3.1640625" style="81" customWidth="1"/>
    <col min="7428" max="7432" width="15.83203125" style="81" customWidth="1"/>
    <col min="7433" max="7433" width="3.1640625" style="81" customWidth="1"/>
    <col min="7434" max="7680" width="9.33203125" style="81"/>
    <col min="7681" max="7681" width="3.1640625" style="81" customWidth="1"/>
    <col min="7682" max="7682" width="35.83203125" style="81" customWidth="1"/>
    <col min="7683" max="7683" width="3.1640625" style="81" customWidth="1"/>
    <col min="7684" max="7688" width="15.83203125" style="81" customWidth="1"/>
    <col min="7689" max="7689" width="3.1640625" style="81" customWidth="1"/>
    <col min="7690" max="7936" width="9.33203125" style="81"/>
    <col min="7937" max="7937" width="3.1640625" style="81" customWidth="1"/>
    <col min="7938" max="7938" width="35.83203125" style="81" customWidth="1"/>
    <col min="7939" max="7939" width="3.1640625" style="81" customWidth="1"/>
    <col min="7940" max="7944" width="15.83203125" style="81" customWidth="1"/>
    <col min="7945" max="7945" width="3.1640625" style="81" customWidth="1"/>
    <col min="7946" max="8192" width="9.33203125" style="81"/>
    <col min="8193" max="8193" width="3.1640625" style="81" customWidth="1"/>
    <col min="8194" max="8194" width="35.83203125" style="81" customWidth="1"/>
    <col min="8195" max="8195" width="3.1640625" style="81" customWidth="1"/>
    <col min="8196" max="8200" width="15.83203125" style="81" customWidth="1"/>
    <col min="8201" max="8201" width="3.1640625" style="81" customWidth="1"/>
    <col min="8202" max="8448" width="9.33203125" style="81"/>
    <col min="8449" max="8449" width="3.1640625" style="81" customWidth="1"/>
    <col min="8450" max="8450" width="35.83203125" style="81" customWidth="1"/>
    <col min="8451" max="8451" width="3.1640625" style="81" customWidth="1"/>
    <col min="8452" max="8456" width="15.83203125" style="81" customWidth="1"/>
    <col min="8457" max="8457" width="3.1640625" style="81" customWidth="1"/>
    <col min="8458" max="8704" width="9.33203125" style="81"/>
    <col min="8705" max="8705" width="3.1640625" style="81" customWidth="1"/>
    <col min="8706" max="8706" width="35.83203125" style="81" customWidth="1"/>
    <col min="8707" max="8707" width="3.1640625" style="81" customWidth="1"/>
    <col min="8708" max="8712" width="15.83203125" style="81" customWidth="1"/>
    <col min="8713" max="8713" width="3.1640625" style="81" customWidth="1"/>
    <col min="8714" max="8960" width="9.33203125" style="81"/>
    <col min="8961" max="8961" width="3.1640625" style="81" customWidth="1"/>
    <col min="8962" max="8962" width="35.83203125" style="81" customWidth="1"/>
    <col min="8963" max="8963" width="3.1640625" style="81" customWidth="1"/>
    <col min="8964" max="8968" width="15.83203125" style="81" customWidth="1"/>
    <col min="8969" max="8969" width="3.1640625" style="81" customWidth="1"/>
    <col min="8970" max="9216" width="9.33203125" style="81"/>
    <col min="9217" max="9217" width="3.1640625" style="81" customWidth="1"/>
    <col min="9218" max="9218" width="35.83203125" style="81" customWidth="1"/>
    <col min="9219" max="9219" width="3.1640625" style="81" customWidth="1"/>
    <col min="9220" max="9224" width="15.83203125" style="81" customWidth="1"/>
    <col min="9225" max="9225" width="3.1640625" style="81" customWidth="1"/>
    <col min="9226" max="9472" width="9.33203125" style="81"/>
    <col min="9473" max="9473" width="3.1640625" style="81" customWidth="1"/>
    <col min="9474" max="9474" width="35.83203125" style="81" customWidth="1"/>
    <col min="9475" max="9475" width="3.1640625" style="81" customWidth="1"/>
    <col min="9476" max="9480" width="15.83203125" style="81" customWidth="1"/>
    <col min="9481" max="9481" width="3.1640625" style="81" customWidth="1"/>
    <col min="9482" max="9728" width="9.33203125" style="81"/>
    <col min="9729" max="9729" width="3.1640625" style="81" customWidth="1"/>
    <col min="9730" max="9730" width="35.83203125" style="81" customWidth="1"/>
    <col min="9731" max="9731" width="3.1640625" style="81" customWidth="1"/>
    <col min="9732" max="9736" width="15.83203125" style="81" customWidth="1"/>
    <col min="9737" max="9737" width="3.1640625" style="81" customWidth="1"/>
    <col min="9738" max="9984" width="9.33203125" style="81"/>
    <col min="9985" max="9985" width="3.1640625" style="81" customWidth="1"/>
    <col min="9986" max="9986" width="35.83203125" style="81" customWidth="1"/>
    <col min="9987" max="9987" width="3.1640625" style="81" customWidth="1"/>
    <col min="9988" max="9992" width="15.83203125" style="81" customWidth="1"/>
    <col min="9993" max="9993" width="3.1640625" style="81" customWidth="1"/>
    <col min="9994" max="10240" width="9.33203125" style="81"/>
    <col min="10241" max="10241" width="3.1640625" style="81" customWidth="1"/>
    <col min="10242" max="10242" width="35.83203125" style="81" customWidth="1"/>
    <col min="10243" max="10243" width="3.1640625" style="81" customWidth="1"/>
    <col min="10244" max="10248" width="15.83203125" style="81" customWidth="1"/>
    <col min="10249" max="10249" width="3.1640625" style="81" customWidth="1"/>
    <col min="10250" max="10496" width="9.33203125" style="81"/>
    <col min="10497" max="10497" width="3.1640625" style="81" customWidth="1"/>
    <col min="10498" max="10498" width="35.83203125" style="81" customWidth="1"/>
    <col min="10499" max="10499" width="3.1640625" style="81" customWidth="1"/>
    <col min="10500" max="10504" width="15.83203125" style="81" customWidth="1"/>
    <col min="10505" max="10505" width="3.1640625" style="81" customWidth="1"/>
    <col min="10506" max="10752" width="9.33203125" style="81"/>
    <col min="10753" max="10753" width="3.1640625" style="81" customWidth="1"/>
    <col min="10754" max="10754" width="35.83203125" style="81" customWidth="1"/>
    <col min="10755" max="10755" width="3.1640625" style="81" customWidth="1"/>
    <col min="10756" max="10760" width="15.83203125" style="81" customWidth="1"/>
    <col min="10761" max="10761" width="3.1640625" style="81" customWidth="1"/>
    <col min="10762" max="11008" width="9.33203125" style="81"/>
    <col min="11009" max="11009" width="3.1640625" style="81" customWidth="1"/>
    <col min="11010" max="11010" width="35.83203125" style="81" customWidth="1"/>
    <col min="11011" max="11011" width="3.1640625" style="81" customWidth="1"/>
    <col min="11012" max="11016" width="15.83203125" style="81" customWidth="1"/>
    <col min="11017" max="11017" width="3.1640625" style="81" customWidth="1"/>
    <col min="11018" max="11264" width="9.33203125" style="81"/>
    <col min="11265" max="11265" width="3.1640625" style="81" customWidth="1"/>
    <col min="11266" max="11266" width="35.83203125" style="81" customWidth="1"/>
    <col min="11267" max="11267" width="3.1640625" style="81" customWidth="1"/>
    <col min="11268" max="11272" width="15.83203125" style="81" customWidth="1"/>
    <col min="11273" max="11273" width="3.1640625" style="81" customWidth="1"/>
    <col min="11274" max="11520" width="9.33203125" style="81"/>
    <col min="11521" max="11521" width="3.1640625" style="81" customWidth="1"/>
    <col min="11522" max="11522" width="35.83203125" style="81" customWidth="1"/>
    <col min="11523" max="11523" width="3.1640625" style="81" customWidth="1"/>
    <col min="11524" max="11528" width="15.83203125" style="81" customWidth="1"/>
    <col min="11529" max="11529" width="3.1640625" style="81" customWidth="1"/>
    <col min="11530" max="11776" width="9.33203125" style="81"/>
    <col min="11777" max="11777" width="3.1640625" style="81" customWidth="1"/>
    <col min="11778" max="11778" width="35.83203125" style="81" customWidth="1"/>
    <col min="11779" max="11779" width="3.1640625" style="81" customWidth="1"/>
    <col min="11780" max="11784" width="15.83203125" style="81" customWidth="1"/>
    <col min="11785" max="11785" width="3.1640625" style="81" customWidth="1"/>
    <col min="11786" max="12032" width="9.33203125" style="81"/>
    <col min="12033" max="12033" width="3.1640625" style="81" customWidth="1"/>
    <col min="12034" max="12034" width="35.83203125" style="81" customWidth="1"/>
    <col min="12035" max="12035" width="3.1640625" style="81" customWidth="1"/>
    <col min="12036" max="12040" width="15.83203125" style="81" customWidth="1"/>
    <col min="12041" max="12041" width="3.1640625" style="81" customWidth="1"/>
    <col min="12042" max="12288" width="9.33203125" style="81"/>
    <col min="12289" max="12289" width="3.1640625" style="81" customWidth="1"/>
    <col min="12290" max="12290" width="35.83203125" style="81" customWidth="1"/>
    <col min="12291" max="12291" width="3.1640625" style="81" customWidth="1"/>
    <col min="12292" max="12296" width="15.83203125" style="81" customWidth="1"/>
    <col min="12297" max="12297" width="3.1640625" style="81" customWidth="1"/>
    <col min="12298" max="12544" width="9.33203125" style="81"/>
    <col min="12545" max="12545" width="3.1640625" style="81" customWidth="1"/>
    <col min="12546" max="12546" width="35.83203125" style="81" customWidth="1"/>
    <col min="12547" max="12547" width="3.1640625" style="81" customWidth="1"/>
    <col min="12548" max="12552" width="15.83203125" style="81" customWidth="1"/>
    <col min="12553" max="12553" width="3.1640625" style="81" customWidth="1"/>
    <col min="12554" max="12800" width="9.33203125" style="81"/>
    <col min="12801" max="12801" width="3.1640625" style="81" customWidth="1"/>
    <col min="12802" max="12802" width="35.83203125" style="81" customWidth="1"/>
    <col min="12803" max="12803" width="3.1640625" style="81" customWidth="1"/>
    <col min="12804" max="12808" width="15.83203125" style="81" customWidth="1"/>
    <col min="12809" max="12809" width="3.1640625" style="81" customWidth="1"/>
    <col min="12810" max="13056" width="9.33203125" style="81"/>
    <col min="13057" max="13057" width="3.1640625" style="81" customWidth="1"/>
    <col min="13058" max="13058" width="35.83203125" style="81" customWidth="1"/>
    <col min="13059" max="13059" width="3.1640625" style="81" customWidth="1"/>
    <col min="13060" max="13064" width="15.83203125" style="81" customWidth="1"/>
    <col min="13065" max="13065" width="3.1640625" style="81" customWidth="1"/>
    <col min="13066" max="13312" width="9.33203125" style="81"/>
    <col min="13313" max="13313" width="3.1640625" style="81" customWidth="1"/>
    <col min="13314" max="13314" width="35.83203125" style="81" customWidth="1"/>
    <col min="13315" max="13315" width="3.1640625" style="81" customWidth="1"/>
    <col min="13316" max="13320" width="15.83203125" style="81" customWidth="1"/>
    <col min="13321" max="13321" width="3.1640625" style="81" customWidth="1"/>
    <col min="13322" max="13568" width="9.33203125" style="81"/>
    <col min="13569" max="13569" width="3.1640625" style="81" customWidth="1"/>
    <col min="13570" max="13570" width="35.83203125" style="81" customWidth="1"/>
    <col min="13571" max="13571" width="3.1640625" style="81" customWidth="1"/>
    <col min="13572" max="13576" width="15.83203125" style="81" customWidth="1"/>
    <col min="13577" max="13577" width="3.1640625" style="81" customWidth="1"/>
    <col min="13578" max="13824" width="9.33203125" style="81"/>
    <col min="13825" max="13825" width="3.1640625" style="81" customWidth="1"/>
    <col min="13826" max="13826" width="35.83203125" style="81" customWidth="1"/>
    <col min="13827" max="13827" width="3.1640625" style="81" customWidth="1"/>
    <col min="13828" max="13832" width="15.83203125" style="81" customWidth="1"/>
    <col min="13833" max="13833" width="3.1640625" style="81" customWidth="1"/>
    <col min="13834" max="14080" width="9.33203125" style="81"/>
    <col min="14081" max="14081" width="3.1640625" style="81" customWidth="1"/>
    <col min="14082" max="14082" width="35.83203125" style="81" customWidth="1"/>
    <col min="14083" max="14083" width="3.1640625" style="81" customWidth="1"/>
    <col min="14084" max="14088" width="15.83203125" style="81" customWidth="1"/>
    <col min="14089" max="14089" width="3.1640625" style="81" customWidth="1"/>
    <col min="14090" max="14336" width="9.33203125" style="81"/>
    <col min="14337" max="14337" width="3.1640625" style="81" customWidth="1"/>
    <col min="14338" max="14338" width="35.83203125" style="81" customWidth="1"/>
    <col min="14339" max="14339" width="3.1640625" style="81" customWidth="1"/>
    <col min="14340" max="14344" width="15.83203125" style="81" customWidth="1"/>
    <col min="14345" max="14345" width="3.1640625" style="81" customWidth="1"/>
    <col min="14346" max="14592" width="9.33203125" style="81"/>
    <col min="14593" max="14593" width="3.1640625" style="81" customWidth="1"/>
    <col min="14594" max="14594" width="35.83203125" style="81" customWidth="1"/>
    <col min="14595" max="14595" width="3.1640625" style="81" customWidth="1"/>
    <col min="14596" max="14600" width="15.83203125" style="81" customWidth="1"/>
    <col min="14601" max="14601" width="3.1640625" style="81" customWidth="1"/>
    <col min="14602" max="14848" width="9.33203125" style="81"/>
    <col min="14849" max="14849" width="3.1640625" style="81" customWidth="1"/>
    <col min="14850" max="14850" width="35.83203125" style="81" customWidth="1"/>
    <col min="14851" max="14851" width="3.1640625" style="81" customWidth="1"/>
    <col min="14852" max="14856" width="15.83203125" style="81" customWidth="1"/>
    <col min="14857" max="14857" width="3.1640625" style="81" customWidth="1"/>
    <col min="14858" max="15104" width="9.33203125" style="81"/>
    <col min="15105" max="15105" width="3.1640625" style="81" customWidth="1"/>
    <col min="15106" max="15106" width="35.83203125" style="81" customWidth="1"/>
    <col min="15107" max="15107" width="3.1640625" style="81" customWidth="1"/>
    <col min="15108" max="15112" width="15.83203125" style="81" customWidth="1"/>
    <col min="15113" max="15113" width="3.1640625" style="81" customWidth="1"/>
    <col min="15114" max="15360" width="9.33203125" style="81"/>
    <col min="15361" max="15361" width="3.1640625" style="81" customWidth="1"/>
    <col min="15362" max="15362" width="35.83203125" style="81" customWidth="1"/>
    <col min="15363" max="15363" width="3.1640625" style="81" customWidth="1"/>
    <col min="15364" max="15368" width="15.83203125" style="81" customWidth="1"/>
    <col min="15369" max="15369" width="3.1640625" style="81" customWidth="1"/>
    <col min="15370" max="15616" width="9.33203125" style="81"/>
    <col min="15617" max="15617" width="3.1640625" style="81" customWidth="1"/>
    <col min="15618" max="15618" width="35.83203125" style="81" customWidth="1"/>
    <col min="15619" max="15619" width="3.1640625" style="81" customWidth="1"/>
    <col min="15620" max="15624" width="15.83203125" style="81" customWidth="1"/>
    <col min="15625" max="15625" width="3.1640625" style="81" customWidth="1"/>
    <col min="15626" max="15872" width="9.33203125" style="81"/>
    <col min="15873" max="15873" width="3.1640625" style="81" customWidth="1"/>
    <col min="15874" max="15874" width="35.83203125" style="81" customWidth="1"/>
    <col min="15875" max="15875" width="3.1640625" style="81" customWidth="1"/>
    <col min="15876" max="15880" width="15.83203125" style="81" customWidth="1"/>
    <col min="15881" max="15881" width="3.1640625" style="81" customWidth="1"/>
    <col min="15882" max="16128" width="9.33203125" style="81"/>
    <col min="16129" max="16129" width="3.1640625" style="81" customWidth="1"/>
    <col min="16130" max="16130" width="35.83203125" style="81" customWidth="1"/>
    <col min="16131" max="16131" width="3.1640625" style="81" customWidth="1"/>
    <col min="16132" max="16136" width="15.83203125" style="81" customWidth="1"/>
    <col min="16137" max="16137" width="3.1640625" style="81" customWidth="1"/>
    <col min="16138" max="16384" width="9.33203125" style="81"/>
  </cols>
  <sheetData>
    <row r="1" spans="1:9" x14ac:dyDescent="0.2">
      <c r="A1" s="78"/>
      <c r="B1" s="79"/>
      <c r="C1" s="79"/>
      <c r="D1" s="79"/>
      <c r="E1" s="79"/>
      <c r="F1" s="79"/>
      <c r="G1" s="79"/>
      <c r="H1" s="79"/>
      <c r="I1" s="80"/>
    </row>
    <row r="2" spans="1:9" ht="16.5" customHeight="1" x14ac:dyDescent="0.3">
      <c r="A2" s="82"/>
      <c r="B2" s="183" t="s">
        <v>184</v>
      </c>
      <c r="C2" s="183"/>
      <c r="D2" s="183"/>
      <c r="E2" s="184"/>
      <c r="F2" s="184"/>
      <c r="G2" s="185"/>
      <c r="H2" s="185"/>
      <c r="I2" s="83"/>
    </row>
    <row r="3" spans="1:9" ht="12.75" customHeight="1" x14ac:dyDescent="0.2">
      <c r="A3" s="82"/>
      <c r="B3" s="105"/>
      <c r="C3" s="105"/>
      <c r="D3" s="105"/>
      <c r="E3" s="105"/>
      <c r="F3" s="105"/>
      <c r="G3" s="105"/>
      <c r="H3" s="105"/>
      <c r="I3" s="83"/>
    </row>
    <row r="4" spans="1:9" ht="12.75" customHeight="1" x14ac:dyDescent="0.2">
      <c r="A4" s="82"/>
      <c r="B4" s="181" t="s">
        <v>185</v>
      </c>
      <c r="C4" s="182"/>
      <c r="D4" s="182"/>
      <c r="E4" s="182"/>
      <c r="F4" s="182"/>
      <c r="G4" s="182"/>
      <c r="H4" s="182"/>
      <c r="I4" s="83"/>
    </row>
    <row r="5" spans="1:9" ht="12.75" customHeight="1" x14ac:dyDescent="0.2">
      <c r="A5" s="82"/>
      <c r="B5" s="182"/>
      <c r="C5" s="182"/>
      <c r="D5" s="182"/>
      <c r="E5" s="182"/>
      <c r="F5" s="182"/>
      <c r="G5" s="182"/>
      <c r="H5" s="182"/>
      <c r="I5" s="83"/>
    </row>
    <row r="6" spans="1:9" ht="12.75" customHeight="1" x14ac:dyDescent="0.2">
      <c r="A6" s="82"/>
      <c r="B6" s="105"/>
      <c r="C6" s="105"/>
      <c r="D6" s="105"/>
      <c r="E6" s="105"/>
      <c r="F6" s="105"/>
      <c r="G6" s="105"/>
      <c r="H6" s="105"/>
      <c r="I6" s="83"/>
    </row>
    <row r="7" spans="1:9" ht="12.75" customHeight="1" x14ac:dyDescent="0.2">
      <c r="A7" s="82"/>
      <c r="B7" s="181" t="s">
        <v>193</v>
      </c>
      <c r="C7" s="182"/>
      <c r="D7" s="182"/>
      <c r="E7" s="182"/>
      <c r="F7" s="182"/>
      <c r="G7" s="182"/>
      <c r="H7" s="182"/>
      <c r="I7" s="83"/>
    </row>
    <row r="8" spans="1:9" ht="12.75" customHeight="1" x14ac:dyDescent="0.2">
      <c r="A8" s="82"/>
      <c r="B8" s="182"/>
      <c r="C8" s="182"/>
      <c r="D8" s="182"/>
      <c r="E8" s="182"/>
      <c r="F8" s="182"/>
      <c r="G8" s="182"/>
      <c r="H8" s="182"/>
      <c r="I8" s="83"/>
    </row>
    <row r="9" spans="1:9" ht="12.75" customHeight="1" x14ac:dyDescent="0.2">
      <c r="A9" s="82"/>
      <c r="B9" s="182"/>
      <c r="C9" s="182"/>
      <c r="D9" s="182"/>
      <c r="E9" s="182"/>
      <c r="F9" s="182"/>
      <c r="G9" s="182"/>
      <c r="H9" s="182"/>
      <c r="I9" s="83"/>
    </row>
    <row r="10" spans="1:9" ht="12.75" customHeight="1" x14ac:dyDescent="0.2">
      <c r="A10" s="82"/>
      <c r="B10" s="105"/>
      <c r="C10" s="105"/>
      <c r="D10" s="105"/>
      <c r="E10" s="105"/>
      <c r="F10" s="105"/>
      <c r="G10" s="105"/>
      <c r="H10" s="105"/>
      <c r="I10" s="83"/>
    </row>
    <row r="11" spans="1:9" x14ac:dyDescent="0.2">
      <c r="A11" s="82"/>
      <c r="B11" s="84" t="s">
        <v>1</v>
      </c>
      <c r="C11" s="85"/>
      <c r="D11" s="86">
        <v>2014</v>
      </c>
      <c r="E11" s="86">
        <f>D11+1</f>
        <v>2015</v>
      </c>
      <c r="F11" s="86">
        <f>E11+1</f>
        <v>2016</v>
      </c>
      <c r="G11" s="86">
        <f>F11+1</f>
        <v>2017</v>
      </c>
      <c r="H11" s="86">
        <f>G11+1</f>
        <v>2018</v>
      </c>
      <c r="I11" s="83"/>
    </row>
    <row r="12" spans="1:9" x14ac:dyDescent="0.2">
      <c r="A12" s="82"/>
      <c r="B12" s="87" t="s">
        <v>5</v>
      </c>
      <c r="C12" s="87"/>
      <c r="D12" s="108">
        <v>1400000</v>
      </c>
      <c r="E12" s="88">
        <f>$D$12</f>
        <v>1400000</v>
      </c>
      <c r="F12" s="88">
        <f>$D$12</f>
        <v>1400000</v>
      </c>
      <c r="G12" s="88">
        <f>$D$12</f>
        <v>1400000</v>
      </c>
      <c r="H12" s="88">
        <f>$D$12</f>
        <v>1400000</v>
      </c>
      <c r="I12" s="83"/>
    </row>
    <row r="13" spans="1:9" x14ac:dyDescent="0.2">
      <c r="A13" s="82"/>
      <c r="B13" s="87" t="s">
        <v>6</v>
      </c>
      <c r="C13" s="87"/>
      <c r="D13" s="106">
        <v>12.8</v>
      </c>
      <c r="E13" s="89">
        <f>$D$13</f>
        <v>12.8</v>
      </c>
      <c r="F13" s="89">
        <f>$D$13</f>
        <v>12.8</v>
      </c>
      <c r="G13" s="89">
        <f>$D$13</f>
        <v>12.8</v>
      </c>
      <c r="H13" s="89">
        <f>$D$13</f>
        <v>12.8</v>
      </c>
      <c r="I13" s="83"/>
    </row>
    <row r="14" spans="1:9" x14ac:dyDescent="0.2">
      <c r="A14" s="82"/>
      <c r="B14" s="87" t="s">
        <v>7</v>
      </c>
      <c r="C14" s="87"/>
      <c r="D14" s="89">
        <v>9.6</v>
      </c>
      <c r="E14" s="89">
        <v>9.6</v>
      </c>
      <c r="F14" s="89">
        <v>9.6</v>
      </c>
      <c r="G14" s="89">
        <v>9.6</v>
      </c>
      <c r="H14" s="89">
        <v>9.6</v>
      </c>
      <c r="I14" s="83"/>
    </row>
    <row r="15" spans="1:9" x14ac:dyDescent="0.2">
      <c r="A15" s="82"/>
      <c r="B15" s="87" t="s">
        <v>156</v>
      </c>
      <c r="C15" s="87"/>
      <c r="D15" s="90">
        <v>0.29499999999999998</v>
      </c>
      <c r="E15" s="90">
        <v>0.29499999999999998</v>
      </c>
      <c r="F15" s="90">
        <v>0.29499999999999998</v>
      </c>
      <c r="G15" s="90">
        <v>0.29499999999999998</v>
      </c>
      <c r="H15" s="90">
        <v>0.29499999999999998</v>
      </c>
      <c r="I15" s="83"/>
    </row>
    <row r="16" spans="1:9" ht="14.25" customHeight="1" x14ac:dyDescent="0.2">
      <c r="A16" s="82"/>
      <c r="B16" s="87" t="s">
        <v>157</v>
      </c>
      <c r="C16" s="87"/>
      <c r="D16" s="107">
        <v>1</v>
      </c>
      <c r="E16" s="91">
        <f>$D$16</f>
        <v>1</v>
      </c>
      <c r="F16" s="91">
        <f>$D$16</f>
        <v>1</v>
      </c>
      <c r="G16" s="91">
        <f>$D$16</f>
        <v>1</v>
      </c>
      <c r="H16" s="91">
        <f>$D$16</f>
        <v>1</v>
      </c>
      <c r="I16" s="83"/>
    </row>
    <row r="17" spans="1:9" x14ac:dyDescent="0.2">
      <c r="A17" s="82"/>
      <c r="B17" s="87"/>
      <c r="C17" s="87"/>
      <c r="D17" s="89"/>
      <c r="E17" s="89"/>
      <c r="F17" s="89"/>
      <c r="G17" s="89"/>
      <c r="H17" s="89"/>
      <c r="I17" s="83"/>
    </row>
    <row r="18" spans="1:9" x14ac:dyDescent="0.2">
      <c r="A18" s="82"/>
      <c r="B18" s="84" t="s">
        <v>158</v>
      </c>
      <c r="C18" s="85"/>
      <c r="D18" s="86">
        <f>D11</f>
        <v>2014</v>
      </c>
      <c r="E18" s="86">
        <f>E11</f>
        <v>2015</v>
      </c>
      <c r="F18" s="86">
        <f>F11</f>
        <v>2016</v>
      </c>
      <c r="G18" s="86">
        <f>G11</f>
        <v>2017</v>
      </c>
      <c r="H18" s="86">
        <f>H11</f>
        <v>2018</v>
      </c>
      <c r="I18" s="83"/>
    </row>
    <row r="19" spans="1:9" x14ac:dyDescent="0.2">
      <c r="A19" s="82"/>
      <c r="B19" s="87" t="s">
        <v>8</v>
      </c>
      <c r="C19" s="87"/>
      <c r="D19" s="92">
        <f>D12*D13</f>
        <v>17920000</v>
      </c>
      <c r="E19" s="92">
        <f>E12*E13</f>
        <v>17920000</v>
      </c>
      <c r="F19" s="92">
        <f>F12*F13</f>
        <v>17920000</v>
      </c>
      <c r="G19" s="92">
        <f>G12*G13</f>
        <v>17920000</v>
      </c>
      <c r="H19" s="92">
        <f>H12*H13</f>
        <v>17920000</v>
      </c>
      <c r="I19" s="83"/>
    </row>
    <row r="20" spans="1:9" x14ac:dyDescent="0.2">
      <c r="A20" s="82"/>
      <c r="B20" s="93" t="s">
        <v>9</v>
      </c>
      <c r="C20" s="93"/>
      <c r="D20" s="88">
        <f>-D12*D14</f>
        <v>-13440000</v>
      </c>
      <c r="E20" s="88">
        <f>-E12*E14</f>
        <v>-13440000</v>
      </c>
      <c r="F20" s="88">
        <f>-F12*F14</f>
        <v>-13440000</v>
      </c>
      <c r="G20" s="88">
        <f>-G12*G14</f>
        <v>-13440000</v>
      </c>
      <c r="H20" s="88">
        <f>-H12*H14</f>
        <v>-13440000</v>
      </c>
      <c r="I20" s="83"/>
    </row>
    <row r="21" spans="1:9" x14ac:dyDescent="0.2">
      <c r="A21" s="82"/>
      <c r="B21" s="93" t="s">
        <v>10</v>
      </c>
      <c r="C21" s="93"/>
      <c r="D21" s="88">
        <v>-890000</v>
      </c>
      <c r="E21" s="88">
        <v>-890000</v>
      </c>
      <c r="F21" s="88">
        <v>-890000</v>
      </c>
      <c r="G21" s="88">
        <v>-890000</v>
      </c>
      <c r="H21" s="88">
        <v>-890000</v>
      </c>
      <c r="I21" s="83"/>
    </row>
    <row r="22" spans="1:9" x14ac:dyDescent="0.2">
      <c r="A22" s="82"/>
      <c r="B22" s="93" t="s">
        <v>2</v>
      </c>
      <c r="C22" s="93"/>
      <c r="D22" s="94">
        <v>-600000</v>
      </c>
      <c r="E22" s="94">
        <v>-600000</v>
      </c>
      <c r="F22" s="94">
        <v>-600000</v>
      </c>
      <c r="G22" s="94">
        <v>-600000</v>
      </c>
      <c r="H22" s="94">
        <v>-600000</v>
      </c>
      <c r="I22" s="83"/>
    </row>
    <row r="23" spans="1:9" ht="13.5" customHeight="1" x14ac:dyDescent="0.2">
      <c r="A23" s="82"/>
      <c r="B23" s="87" t="s">
        <v>11</v>
      </c>
      <c r="C23" s="87"/>
      <c r="D23" s="92">
        <f>SUM(D19:D22)</f>
        <v>2990000</v>
      </c>
      <c r="E23" s="92">
        <f>SUM(E19:E22)</f>
        <v>2990000</v>
      </c>
      <c r="F23" s="92">
        <f>SUM(F19:F22)</f>
        <v>2990000</v>
      </c>
      <c r="G23" s="92">
        <f>SUM(G19:G22)</f>
        <v>2990000</v>
      </c>
      <c r="H23" s="92">
        <f>SUM(H19:H22)</f>
        <v>2990000</v>
      </c>
      <c r="I23" s="83"/>
    </row>
    <row r="24" spans="1:9" x14ac:dyDescent="0.2">
      <c r="A24" s="82"/>
      <c r="B24" s="93" t="s">
        <v>12</v>
      </c>
      <c r="C24" s="93"/>
      <c r="D24" s="94">
        <f>-D15*D23</f>
        <v>-882050</v>
      </c>
      <c r="E24" s="94">
        <f>-E15*E23</f>
        <v>-882050</v>
      </c>
      <c r="F24" s="94">
        <f>-F15*F23</f>
        <v>-882050</v>
      </c>
      <c r="G24" s="94">
        <f>-G15*G23</f>
        <v>-882050</v>
      </c>
      <c r="H24" s="94">
        <f>-H15*H23</f>
        <v>-882050</v>
      </c>
      <c r="I24" s="83"/>
    </row>
    <row r="25" spans="1:9" ht="13.5" customHeight="1" x14ac:dyDescent="0.2">
      <c r="A25" s="82"/>
      <c r="B25" s="95" t="s">
        <v>159</v>
      </c>
      <c r="C25" s="95"/>
      <c r="D25" s="92">
        <f>D23+D24</f>
        <v>2107950</v>
      </c>
      <c r="E25" s="92">
        <f>E23+E24</f>
        <v>2107950</v>
      </c>
      <c r="F25" s="92">
        <f>F23+F24</f>
        <v>2107950</v>
      </c>
      <c r="G25" s="92">
        <f>G23+G24</f>
        <v>2107950</v>
      </c>
      <c r="H25" s="92">
        <f>H23+H24</f>
        <v>2107950</v>
      </c>
      <c r="I25" s="83"/>
    </row>
    <row r="26" spans="1:9" ht="13.5" customHeight="1" x14ac:dyDescent="0.2">
      <c r="A26" s="82"/>
      <c r="B26" s="95"/>
      <c r="C26" s="95"/>
      <c r="D26" s="92"/>
      <c r="E26" s="92"/>
      <c r="F26" s="92"/>
      <c r="G26" s="92"/>
      <c r="H26" s="92"/>
      <c r="I26" s="83"/>
    </row>
    <row r="27" spans="1:9" ht="13.5" customHeight="1" x14ac:dyDescent="0.2">
      <c r="A27" s="82"/>
      <c r="B27" s="84" t="s">
        <v>160</v>
      </c>
      <c r="C27" s="95"/>
      <c r="D27" s="92"/>
      <c r="E27" s="92"/>
      <c r="F27" s="92"/>
      <c r="G27" s="92"/>
      <c r="H27" s="92"/>
      <c r="I27" s="83"/>
    </row>
    <row r="28" spans="1:9" ht="13.5" customHeight="1" x14ac:dyDescent="0.2">
      <c r="A28" s="82"/>
      <c r="B28" s="95" t="s">
        <v>159</v>
      </c>
      <c r="C28" s="95"/>
      <c r="D28" s="92">
        <f>D25</f>
        <v>2107950</v>
      </c>
      <c r="E28" s="92">
        <f>E25</f>
        <v>2107950</v>
      </c>
      <c r="F28" s="92">
        <f>F25</f>
        <v>2107950</v>
      </c>
      <c r="G28" s="92">
        <f>G25</f>
        <v>2107950</v>
      </c>
      <c r="H28" s="92">
        <f>H25</f>
        <v>2107950</v>
      </c>
      <c r="I28" s="83"/>
    </row>
    <row r="29" spans="1:9" ht="13.5" customHeight="1" x14ac:dyDescent="0.2">
      <c r="A29" s="82"/>
      <c r="B29" s="95" t="s">
        <v>13</v>
      </c>
      <c r="C29" s="95"/>
      <c r="D29" s="88">
        <f>-D22</f>
        <v>600000</v>
      </c>
      <c r="E29" s="88">
        <f>-E22</f>
        <v>600000</v>
      </c>
      <c r="F29" s="88">
        <f>-F22</f>
        <v>600000</v>
      </c>
      <c r="G29" s="88">
        <f>-G22</f>
        <v>600000</v>
      </c>
      <c r="H29" s="88">
        <f>-H22</f>
        <v>600000</v>
      </c>
      <c r="I29" s="83"/>
    </row>
    <row r="30" spans="1:9" ht="13.5" customHeight="1" x14ac:dyDescent="0.2">
      <c r="A30" s="82"/>
      <c r="B30" s="95" t="s">
        <v>161</v>
      </c>
      <c r="C30" s="95"/>
      <c r="D30" s="94">
        <f>D48-D47</f>
        <v>-203397.41095890407</v>
      </c>
      <c r="E30" s="94">
        <f>D47-E47</f>
        <v>0</v>
      </c>
      <c r="F30" s="94">
        <f>E47-F47</f>
        <v>0</v>
      </c>
      <c r="G30" s="94">
        <f>F47-G47</f>
        <v>0</v>
      </c>
      <c r="H30" s="94">
        <f>G47-H47</f>
        <v>0</v>
      </c>
      <c r="I30" s="83"/>
    </row>
    <row r="31" spans="1:9" ht="13.5" customHeight="1" x14ac:dyDescent="0.2">
      <c r="A31" s="82"/>
      <c r="B31" s="95" t="s">
        <v>162</v>
      </c>
      <c r="C31" s="95"/>
      <c r="D31" s="92">
        <f>SUM(D28:D30)</f>
        <v>2504552.5890410962</v>
      </c>
      <c r="E31" s="92">
        <f>SUM(E28:E30)</f>
        <v>2707950</v>
      </c>
      <c r="F31" s="92">
        <f>SUM(F28:F30)</f>
        <v>2707950</v>
      </c>
      <c r="G31" s="92">
        <f>SUM(G28:G30)</f>
        <v>2707950</v>
      </c>
      <c r="H31" s="92">
        <f>SUM(H28:H30)</f>
        <v>2707950</v>
      </c>
      <c r="I31" s="83"/>
    </row>
    <row r="32" spans="1:9" ht="13.5" customHeight="1" x14ac:dyDescent="0.2">
      <c r="A32" s="82"/>
      <c r="B32" s="95"/>
      <c r="C32" s="95"/>
      <c r="D32" s="92"/>
      <c r="E32" s="92"/>
      <c r="F32" s="92"/>
      <c r="G32" s="92"/>
      <c r="H32" s="92"/>
      <c r="I32" s="83"/>
    </row>
    <row r="33" spans="1:9" x14ac:dyDescent="0.2">
      <c r="A33" s="82"/>
      <c r="B33" s="95" t="s">
        <v>14</v>
      </c>
      <c r="C33" s="95"/>
      <c r="D33" s="96">
        <f>D31*D16</f>
        <v>2504552.5890410962</v>
      </c>
      <c r="E33" s="96">
        <f>E31*E16</f>
        <v>2707950</v>
      </c>
      <c r="F33" s="96">
        <f>F31*F16</f>
        <v>2707950</v>
      </c>
      <c r="G33" s="96">
        <f>G31*G16</f>
        <v>2707950</v>
      </c>
      <c r="H33" s="96">
        <f>H31*H16</f>
        <v>2707950</v>
      </c>
      <c r="I33" s="83"/>
    </row>
    <row r="34" spans="1:9" ht="13.5" thickBot="1" x14ac:dyDescent="0.25">
      <c r="A34" s="82"/>
      <c r="B34" s="95"/>
      <c r="C34" s="95"/>
      <c r="D34" s="97"/>
      <c r="E34" s="98"/>
      <c r="F34" s="98"/>
      <c r="G34" s="98"/>
      <c r="H34" s="98"/>
      <c r="I34" s="83"/>
    </row>
    <row r="35" spans="1:9" ht="13.5" thickBot="1" x14ac:dyDescent="0.25">
      <c r="A35" s="82"/>
      <c r="B35" s="95" t="s">
        <v>163</v>
      </c>
      <c r="C35" s="95"/>
      <c r="D35" s="113">
        <f>NPV(0.15,D33:H33)</f>
        <v>8900601.0837826692</v>
      </c>
      <c r="E35" s="96"/>
      <c r="F35" s="96"/>
      <c r="G35" s="96"/>
      <c r="H35" s="96"/>
      <c r="I35" s="83"/>
    </row>
    <row r="36" spans="1:9" ht="13.5" thickBot="1" x14ac:dyDescent="0.25">
      <c r="A36" s="99"/>
      <c r="B36" s="100"/>
      <c r="C36" s="100"/>
      <c r="D36" s="101"/>
      <c r="E36" s="101"/>
      <c r="F36" s="101"/>
      <c r="G36" s="101"/>
      <c r="H36" s="101"/>
      <c r="I36" s="102"/>
    </row>
    <row r="37" spans="1:9" x14ac:dyDescent="0.2">
      <c r="A37" s="78"/>
      <c r="B37" s="109"/>
      <c r="C37" s="109"/>
      <c r="D37" s="110"/>
      <c r="E37" s="110"/>
      <c r="F37" s="110"/>
      <c r="G37" s="110"/>
      <c r="H37" s="110"/>
      <c r="I37" s="80"/>
    </row>
    <row r="38" spans="1:9" x14ac:dyDescent="0.2">
      <c r="A38" s="82"/>
      <c r="B38" s="84" t="s">
        <v>164</v>
      </c>
      <c r="C38" s="95"/>
      <c r="D38" s="103"/>
      <c r="E38" s="103"/>
      <c r="F38" s="103"/>
      <c r="G38" s="103"/>
      <c r="H38" s="103"/>
      <c r="I38" s="83"/>
    </row>
    <row r="39" spans="1:9" x14ac:dyDescent="0.2">
      <c r="A39" s="82"/>
      <c r="B39" s="95" t="s">
        <v>165</v>
      </c>
      <c r="C39" s="95"/>
      <c r="D39" s="92">
        <f>D19/365</f>
        <v>49095.890410958906</v>
      </c>
      <c r="E39" s="92">
        <f>E19/365</f>
        <v>49095.890410958906</v>
      </c>
      <c r="F39" s="92">
        <f>F19/365</f>
        <v>49095.890410958906</v>
      </c>
      <c r="G39" s="92">
        <f>G19/365</f>
        <v>49095.890410958906</v>
      </c>
      <c r="H39" s="92">
        <f>H19/365</f>
        <v>49095.890410958906</v>
      </c>
      <c r="I39" s="83"/>
    </row>
    <row r="40" spans="1:9" x14ac:dyDescent="0.2">
      <c r="A40" s="82"/>
      <c r="B40" s="95" t="s">
        <v>166</v>
      </c>
      <c r="C40" s="95"/>
      <c r="D40" s="92">
        <f>-D20/365</f>
        <v>36821.917808219179</v>
      </c>
      <c r="E40" s="92">
        <f>-E20/365</f>
        <v>36821.917808219179</v>
      </c>
      <c r="F40" s="92">
        <f>-F20/365</f>
        <v>36821.917808219179</v>
      </c>
      <c r="G40" s="92">
        <f>-G20/365</f>
        <v>36821.917808219179</v>
      </c>
      <c r="H40" s="92">
        <f>-H20/365</f>
        <v>36821.917808219179</v>
      </c>
      <c r="I40" s="83"/>
    </row>
    <row r="41" spans="1:9" ht="13.5" customHeight="1" x14ac:dyDescent="0.2">
      <c r="A41" s="82"/>
      <c r="B41" s="95" t="s">
        <v>167</v>
      </c>
      <c r="C41" s="95"/>
      <c r="D41" s="104">
        <v>45</v>
      </c>
      <c r="E41" s="104">
        <v>45</v>
      </c>
      <c r="F41" s="104">
        <v>45</v>
      </c>
      <c r="G41" s="104">
        <v>45</v>
      </c>
      <c r="H41" s="104">
        <v>45</v>
      </c>
      <c r="I41" s="83"/>
    </row>
    <row r="42" spans="1:9" ht="13.5" customHeight="1" x14ac:dyDescent="0.2">
      <c r="A42" s="82"/>
      <c r="B42" s="95" t="s">
        <v>168</v>
      </c>
      <c r="C42" s="95"/>
      <c r="D42" s="104">
        <f>D41*D39</f>
        <v>2209315.0684931506</v>
      </c>
      <c r="E42" s="104">
        <f>E41*E39</f>
        <v>2209315.0684931506</v>
      </c>
      <c r="F42" s="104">
        <f>F41*F39</f>
        <v>2209315.0684931506</v>
      </c>
      <c r="G42" s="104">
        <f>G41*G39</f>
        <v>2209315.0684931506</v>
      </c>
      <c r="H42" s="104">
        <f>H41*H39</f>
        <v>2209315.0684931506</v>
      </c>
      <c r="I42" s="83"/>
    </row>
    <row r="43" spans="1:9" x14ac:dyDescent="0.2">
      <c r="A43" s="82"/>
      <c r="B43" s="95" t="s">
        <v>169</v>
      </c>
      <c r="C43" s="95"/>
      <c r="D43" s="104">
        <v>10</v>
      </c>
      <c r="E43" s="104">
        <v>10</v>
      </c>
      <c r="F43" s="104">
        <v>10</v>
      </c>
      <c r="G43" s="104">
        <v>10</v>
      </c>
      <c r="H43" s="104">
        <v>10</v>
      </c>
      <c r="I43" s="83"/>
    </row>
    <row r="44" spans="1:9" x14ac:dyDescent="0.2">
      <c r="A44" s="82"/>
      <c r="B44" s="95" t="s">
        <v>170</v>
      </c>
      <c r="C44" s="95"/>
      <c r="D44" s="104">
        <f>D43*D40</f>
        <v>368219.17808219179</v>
      </c>
      <c r="E44" s="104">
        <f>E43*E40</f>
        <v>368219.17808219179</v>
      </c>
      <c r="F44" s="104">
        <f>F43*F40</f>
        <v>368219.17808219179</v>
      </c>
      <c r="G44" s="104">
        <f>G43*G40</f>
        <v>368219.17808219179</v>
      </c>
      <c r="H44" s="104">
        <f>H43*H40</f>
        <v>368219.17808219179</v>
      </c>
      <c r="I44" s="83"/>
    </row>
    <row r="45" spans="1:9" ht="13.5" customHeight="1" x14ac:dyDescent="0.2">
      <c r="A45" s="82"/>
      <c r="B45" s="95" t="s">
        <v>171</v>
      </c>
      <c r="C45" s="95"/>
      <c r="D45" s="104">
        <v>38</v>
      </c>
      <c r="E45" s="104">
        <v>38</v>
      </c>
      <c r="F45" s="104">
        <v>38</v>
      </c>
      <c r="G45" s="104">
        <v>38</v>
      </c>
      <c r="H45" s="104">
        <v>38</v>
      </c>
      <c r="I45" s="83"/>
    </row>
    <row r="46" spans="1:9" ht="13.5" customHeight="1" x14ac:dyDescent="0.2">
      <c r="A46" s="82"/>
      <c r="B46" s="95" t="s">
        <v>172</v>
      </c>
      <c r="C46" s="95"/>
      <c r="D46" s="104">
        <f>D45*D39</f>
        <v>1865643.8356164384</v>
      </c>
      <c r="E46" s="104">
        <f>E45*E39</f>
        <v>1865643.8356164384</v>
      </c>
      <c r="F46" s="104">
        <f>F45*F39</f>
        <v>1865643.8356164384</v>
      </c>
      <c r="G46" s="104">
        <f>G45*G39</f>
        <v>1865643.8356164384</v>
      </c>
      <c r="H46" s="104">
        <f>H45*H39</f>
        <v>1865643.8356164384</v>
      </c>
      <c r="I46" s="83"/>
    </row>
    <row r="47" spans="1:9" ht="13.5" customHeight="1" x14ac:dyDescent="0.2">
      <c r="A47" s="82"/>
      <c r="B47" s="95" t="s">
        <v>173</v>
      </c>
      <c r="C47" s="95"/>
      <c r="D47" s="104">
        <f>D42+D44-D46</f>
        <v>711890.41095890407</v>
      </c>
      <c r="E47" s="104">
        <f>E42+E44-E46</f>
        <v>711890.41095890407</v>
      </c>
      <c r="F47" s="104">
        <f>F42+F44-F46</f>
        <v>711890.41095890407</v>
      </c>
      <c r="G47" s="104">
        <f>G42+G44-G46</f>
        <v>711890.41095890407</v>
      </c>
      <c r="H47" s="104">
        <f>H42+H44-H46</f>
        <v>711890.41095890407</v>
      </c>
      <c r="I47" s="83"/>
    </row>
    <row r="48" spans="1:9" x14ac:dyDescent="0.2">
      <c r="A48" s="82"/>
      <c r="B48" s="95" t="s">
        <v>174</v>
      </c>
      <c r="C48" s="95"/>
      <c r="D48" s="104">
        <v>508493</v>
      </c>
      <c r="E48" s="104">
        <v>508493</v>
      </c>
      <c r="F48" s="104">
        <v>508493</v>
      </c>
      <c r="G48" s="104">
        <v>508493</v>
      </c>
      <c r="H48" s="104">
        <v>508493</v>
      </c>
      <c r="I48" s="83"/>
    </row>
    <row r="49" spans="1:9" ht="13.5" thickBot="1" x14ac:dyDescent="0.25">
      <c r="A49" s="99"/>
      <c r="B49" s="100"/>
      <c r="C49" s="100"/>
      <c r="D49" s="111"/>
      <c r="E49" s="112"/>
      <c r="F49" s="112"/>
      <c r="G49" s="112"/>
      <c r="H49" s="112"/>
      <c r="I49" s="102"/>
    </row>
  </sheetData>
  <mergeCells count="3">
    <mergeCell ref="B2:H2"/>
    <mergeCell ref="B4:H5"/>
    <mergeCell ref="B7:H9"/>
  </mergeCells>
  <printOptions horizontalCentered="1"/>
  <pageMargins left="0.7" right="0.7" top="0.75" bottom="0.75" header="0.3" footer="0.3"/>
  <pageSetup scale="81"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workbookViewId="0"/>
  </sheetViews>
  <sheetFormatPr defaultColWidth="10.33203125" defaultRowHeight="15" x14ac:dyDescent="0.25"/>
  <cols>
    <col min="1" max="1" width="3.1640625" style="118" customWidth="1"/>
    <col min="2" max="2" width="31.1640625" style="118" customWidth="1"/>
    <col min="3" max="3" width="3.1640625" style="118" customWidth="1"/>
    <col min="4" max="4" width="11.33203125" style="118" customWidth="1"/>
    <col min="5" max="5" width="2" style="118" customWidth="1"/>
    <col min="6" max="6" width="11.33203125" style="118" customWidth="1"/>
    <col min="7" max="7" width="2" style="118" customWidth="1"/>
    <col min="8" max="8" width="11.33203125" style="118" customWidth="1"/>
    <col min="9" max="9" width="2" style="118" customWidth="1"/>
    <col min="10" max="10" width="11.33203125" style="118" customWidth="1"/>
    <col min="11" max="11" width="2" style="118" customWidth="1"/>
    <col min="12" max="12" width="11.33203125" style="118" customWidth="1"/>
    <col min="13" max="13" width="2" style="118" customWidth="1"/>
    <col min="14" max="14" width="11.33203125" style="118" customWidth="1"/>
    <col min="15" max="15" width="2" style="118" customWidth="1"/>
    <col min="16" max="16" width="11.33203125" style="118" customWidth="1"/>
    <col min="17" max="17" width="2" style="118" customWidth="1"/>
    <col min="18" max="18" width="11.33203125" style="118" customWidth="1"/>
    <col min="19" max="19" width="2" style="118" customWidth="1"/>
    <col min="20" max="20" width="11.33203125" style="118" customWidth="1"/>
    <col min="21" max="21" width="2" style="118" customWidth="1"/>
    <col min="22" max="22" width="11.33203125" style="118" customWidth="1"/>
    <col min="23" max="23" width="2" style="118" customWidth="1"/>
    <col min="24" max="24" width="11.33203125" style="118" customWidth="1"/>
    <col min="25" max="25" width="2" style="118" customWidth="1"/>
    <col min="26" max="26" width="11.33203125" style="139" customWidth="1"/>
    <col min="27" max="27" width="3.1640625" style="118" customWidth="1"/>
    <col min="28" max="16384" width="10.33203125" style="118"/>
  </cols>
  <sheetData>
    <row r="1" spans="1:27" x14ac:dyDescent="0.25">
      <c r="A1" s="114"/>
      <c r="B1" s="115"/>
      <c r="C1" s="115"/>
      <c r="D1" s="115"/>
      <c r="E1" s="115"/>
      <c r="F1" s="115"/>
      <c r="G1" s="115"/>
      <c r="H1" s="115"/>
      <c r="I1" s="115"/>
      <c r="J1" s="115"/>
      <c r="K1" s="115"/>
      <c r="L1" s="115"/>
      <c r="M1" s="115"/>
      <c r="N1" s="115"/>
      <c r="O1" s="115"/>
      <c r="P1" s="115"/>
      <c r="Q1" s="115"/>
      <c r="R1" s="115"/>
      <c r="S1" s="115"/>
      <c r="T1" s="115"/>
      <c r="U1" s="115"/>
      <c r="V1" s="115"/>
      <c r="W1" s="115"/>
      <c r="X1" s="115"/>
      <c r="Y1" s="115"/>
      <c r="Z1" s="116"/>
      <c r="AA1" s="117"/>
    </row>
    <row r="2" spans="1:27" s="142" customFormat="1" ht="18.75" x14ac:dyDescent="0.25">
      <c r="A2" s="140"/>
      <c r="B2" s="183" t="s">
        <v>232</v>
      </c>
      <c r="C2" s="183"/>
      <c r="D2" s="183"/>
      <c r="E2" s="183"/>
      <c r="F2" s="188"/>
      <c r="G2" s="188"/>
      <c r="H2" s="188"/>
      <c r="I2" s="188"/>
      <c r="J2" s="188"/>
      <c r="K2" s="188"/>
      <c r="L2" s="188"/>
      <c r="M2" s="188"/>
      <c r="N2" s="189"/>
      <c r="O2" s="189"/>
      <c r="P2" s="189"/>
      <c r="Q2" s="189"/>
      <c r="R2" s="189"/>
      <c r="S2" s="189"/>
      <c r="T2" s="189"/>
      <c r="U2" s="189"/>
      <c r="V2" s="189"/>
      <c r="W2" s="189"/>
      <c r="X2" s="189"/>
      <c r="Y2" s="189"/>
      <c r="Z2" s="189"/>
      <c r="AA2" s="141"/>
    </row>
    <row r="3" spans="1:27" x14ac:dyDescent="0.25">
      <c r="A3" s="119"/>
      <c r="B3" s="120"/>
      <c r="C3" s="120"/>
      <c r="D3" s="120"/>
      <c r="E3" s="120"/>
      <c r="F3" s="120"/>
      <c r="G3" s="120"/>
      <c r="H3" s="120"/>
      <c r="I3" s="120"/>
      <c r="J3" s="120"/>
      <c r="K3" s="120"/>
      <c r="L3" s="120"/>
      <c r="M3" s="120"/>
      <c r="N3" s="120"/>
      <c r="O3" s="120"/>
      <c r="P3" s="120"/>
      <c r="Q3" s="120"/>
      <c r="R3" s="120"/>
      <c r="S3" s="120"/>
      <c r="T3" s="120"/>
      <c r="U3" s="120"/>
      <c r="V3" s="120"/>
      <c r="W3" s="120"/>
      <c r="X3" s="120"/>
      <c r="Y3" s="120"/>
      <c r="Z3" s="121"/>
      <c r="AA3" s="122"/>
    </row>
    <row r="4" spans="1:27" ht="12.75" x14ac:dyDescent="0.2">
      <c r="A4" s="119"/>
      <c r="B4" s="186" t="s">
        <v>194</v>
      </c>
      <c r="C4" s="190"/>
      <c r="D4" s="190"/>
      <c r="E4" s="190"/>
      <c r="F4" s="190"/>
      <c r="G4" s="190"/>
      <c r="H4" s="190"/>
      <c r="I4" s="190"/>
      <c r="J4" s="190"/>
      <c r="K4" s="190"/>
      <c r="L4" s="190"/>
      <c r="M4" s="190"/>
      <c r="N4" s="190"/>
      <c r="O4" s="190"/>
      <c r="P4" s="190"/>
      <c r="Q4" s="190"/>
      <c r="R4" s="190"/>
      <c r="S4" s="190"/>
      <c r="T4" s="190"/>
      <c r="U4" s="190"/>
      <c r="V4" s="190"/>
      <c r="W4" s="190"/>
      <c r="X4" s="190"/>
      <c r="Y4" s="190"/>
      <c r="Z4" s="190"/>
      <c r="AA4" s="122"/>
    </row>
    <row r="5" spans="1:27" ht="12.75" x14ac:dyDescent="0.2">
      <c r="A5" s="11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22"/>
    </row>
    <row r="6" spans="1:27" ht="12.75" x14ac:dyDescent="0.2">
      <c r="A6" s="119"/>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22"/>
    </row>
    <row r="7" spans="1:27" x14ac:dyDescent="0.25">
      <c r="A7" s="119"/>
      <c r="B7" s="120"/>
      <c r="C7" s="120"/>
      <c r="D7" s="120"/>
      <c r="E7" s="120"/>
      <c r="F7" s="120"/>
      <c r="G7" s="120"/>
      <c r="H7" s="120"/>
      <c r="I7" s="120"/>
      <c r="J7" s="120"/>
      <c r="K7" s="120"/>
      <c r="L7" s="120"/>
      <c r="M7" s="120"/>
      <c r="N7" s="120"/>
      <c r="O7" s="120"/>
      <c r="P7" s="120"/>
      <c r="Q7" s="120"/>
      <c r="R7" s="120"/>
      <c r="S7" s="120"/>
      <c r="T7" s="120"/>
      <c r="U7" s="120"/>
      <c r="V7" s="120"/>
      <c r="W7" s="120"/>
      <c r="X7" s="120"/>
      <c r="Y7" s="120"/>
      <c r="Z7" s="123"/>
      <c r="AA7" s="122"/>
    </row>
    <row r="8" spans="1:27" x14ac:dyDescent="0.25">
      <c r="A8" s="119"/>
      <c r="B8" s="124" t="s">
        <v>195</v>
      </c>
      <c r="C8" s="120"/>
      <c r="D8" s="120"/>
      <c r="E8" s="120"/>
      <c r="F8" s="120"/>
      <c r="G8" s="120"/>
      <c r="H8" s="120"/>
      <c r="I8" s="120"/>
      <c r="J8" s="120"/>
      <c r="K8" s="120"/>
      <c r="L8" s="120"/>
      <c r="M8" s="120"/>
      <c r="N8" s="120"/>
      <c r="O8" s="120"/>
      <c r="P8" s="120"/>
      <c r="Q8" s="120"/>
      <c r="R8" s="120"/>
      <c r="S8" s="120"/>
      <c r="T8" s="120"/>
      <c r="U8" s="120"/>
      <c r="V8" s="120"/>
      <c r="W8" s="120"/>
      <c r="X8" s="120"/>
      <c r="Y8" s="120"/>
      <c r="Z8" s="123"/>
      <c r="AA8" s="122"/>
    </row>
    <row r="9" spans="1:27" x14ac:dyDescent="0.25">
      <c r="A9" s="119"/>
      <c r="B9" s="120"/>
      <c r="C9" s="120"/>
      <c r="D9" s="120"/>
      <c r="E9" s="120"/>
      <c r="F9" s="120"/>
      <c r="G9" s="120"/>
      <c r="H9" s="120"/>
      <c r="I9" s="120"/>
      <c r="J9" s="120"/>
      <c r="K9" s="120"/>
      <c r="L9" s="120"/>
      <c r="M9" s="120"/>
      <c r="N9" s="120"/>
      <c r="O9" s="120"/>
      <c r="P9" s="120"/>
      <c r="Q9" s="120"/>
      <c r="R9" s="120"/>
      <c r="S9" s="120"/>
      <c r="T9" s="120"/>
      <c r="U9" s="120"/>
      <c r="V9" s="120"/>
      <c r="W9" s="120"/>
      <c r="X9" s="120"/>
      <c r="Y9" s="120"/>
      <c r="Z9" s="123"/>
      <c r="AA9" s="122"/>
    </row>
    <row r="10" spans="1:27" ht="12.75" x14ac:dyDescent="0.2">
      <c r="A10" s="119"/>
      <c r="B10" s="125" t="s">
        <v>196</v>
      </c>
      <c r="C10" s="120"/>
      <c r="D10" s="126" t="s">
        <v>197</v>
      </c>
      <c r="E10" s="126"/>
      <c r="F10" s="126" t="s">
        <v>198</v>
      </c>
      <c r="G10" s="126"/>
      <c r="H10" s="126" t="s">
        <v>199</v>
      </c>
      <c r="I10" s="126"/>
      <c r="J10" s="126" t="s">
        <v>200</v>
      </c>
      <c r="K10" s="126"/>
      <c r="L10" s="126" t="s">
        <v>201</v>
      </c>
      <c r="M10" s="126"/>
      <c r="N10" s="126" t="s">
        <v>202</v>
      </c>
      <c r="O10" s="126"/>
      <c r="P10" s="126" t="s">
        <v>203</v>
      </c>
      <c r="Q10" s="126"/>
      <c r="R10" s="126" t="s">
        <v>204</v>
      </c>
      <c r="S10" s="126"/>
      <c r="T10" s="126" t="s">
        <v>205</v>
      </c>
      <c r="U10" s="126"/>
      <c r="V10" s="126" t="s">
        <v>206</v>
      </c>
      <c r="W10" s="126"/>
      <c r="X10" s="126" t="s">
        <v>207</v>
      </c>
      <c r="Y10" s="126"/>
      <c r="Z10" s="126" t="s">
        <v>208</v>
      </c>
      <c r="AA10" s="122"/>
    </row>
    <row r="11" spans="1:27" ht="12.75" x14ac:dyDescent="0.2">
      <c r="A11" s="119"/>
      <c r="B11" s="120" t="s">
        <v>209</v>
      </c>
      <c r="C11" s="120"/>
      <c r="D11" s="127">
        <v>22.5</v>
      </c>
      <c r="E11" s="127"/>
      <c r="F11" s="127">
        <v>22.5</v>
      </c>
      <c r="G11" s="127"/>
      <c r="H11" s="127">
        <v>22.5</v>
      </c>
      <c r="I11" s="127"/>
      <c r="J11" s="127">
        <v>22.5</v>
      </c>
      <c r="K11" s="127"/>
      <c r="L11" s="127">
        <v>22.5</v>
      </c>
      <c r="M11" s="127"/>
      <c r="N11" s="127">
        <v>22.5</v>
      </c>
      <c r="O11" s="127"/>
      <c r="P11" s="127">
        <v>22.5</v>
      </c>
      <c r="Q11" s="127"/>
      <c r="R11" s="127">
        <v>22.5</v>
      </c>
      <c r="S11" s="127"/>
      <c r="T11" s="127">
        <v>22.5</v>
      </c>
      <c r="U11" s="127"/>
      <c r="V11" s="127">
        <v>22.5</v>
      </c>
      <c r="W11" s="127"/>
      <c r="X11" s="127">
        <v>22.5</v>
      </c>
      <c r="Y11" s="127"/>
      <c r="Z11" s="127">
        <v>22.5</v>
      </c>
      <c r="AA11" s="122"/>
    </row>
    <row r="12" spans="1:27" x14ac:dyDescent="0.25">
      <c r="A12" s="119"/>
      <c r="B12" s="120" t="s">
        <v>210</v>
      </c>
      <c r="C12" s="120"/>
      <c r="D12" s="128">
        <v>1.4918</v>
      </c>
      <c r="E12" s="128"/>
      <c r="F12" s="128">
        <v>1.4733000000000001</v>
      </c>
      <c r="G12" s="128"/>
      <c r="H12" s="128">
        <v>1.4696</v>
      </c>
      <c r="I12" s="128"/>
      <c r="J12" s="128">
        <v>1.4107000000000001</v>
      </c>
      <c r="K12" s="128"/>
      <c r="L12" s="128">
        <v>1.3198000000000001</v>
      </c>
      <c r="M12" s="128"/>
      <c r="N12" s="128">
        <v>1.2617</v>
      </c>
      <c r="O12" s="128"/>
      <c r="P12" s="128">
        <v>1.2589999999999999</v>
      </c>
      <c r="Q12" s="128"/>
      <c r="R12" s="128">
        <v>1.1923999999999999</v>
      </c>
      <c r="S12" s="128"/>
      <c r="T12" s="120">
        <v>1.1016999999999999</v>
      </c>
      <c r="U12" s="120"/>
      <c r="V12" s="120">
        <v>1.1375</v>
      </c>
      <c r="W12" s="120"/>
      <c r="X12" s="120">
        <v>1.1467000000000001</v>
      </c>
      <c r="Y12" s="120"/>
      <c r="Z12" s="123">
        <v>1.1066</v>
      </c>
      <c r="AA12" s="122"/>
    </row>
    <row r="13" spans="1:27" ht="12.75" x14ac:dyDescent="0.2">
      <c r="A13" s="119"/>
      <c r="B13" s="120" t="s">
        <v>211</v>
      </c>
      <c r="C13" s="120"/>
      <c r="D13" s="129">
        <f>D11*D12</f>
        <v>33.5655</v>
      </c>
      <c r="E13" s="129"/>
      <c r="F13" s="137">
        <f t="shared" ref="F13:Z13" si="0">F11*F12</f>
        <v>33.149250000000002</v>
      </c>
      <c r="G13" s="137"/>
      <c r="H13" s="137">
        <f t="shared" si="0"/>
        <v>33.066000000000003</v>
      </c>
      <c r="I13" s="137"/>
      <c r="J13" s="137">
        <f t="shared" si="0"/>
        <v>31.740750000000002</v>
      </c>
      <c r="K13" s="137"/>
      <c r="L13" s="137">
        <f t="shared" si="0"/>
        <v>29.695500000000003</v>
      </c>
      <c r="M13" s="137"/>
      <c r="N13" s="137">
        <f t="shared" si="0"/>
        <v>28.388249999999999</v>
      </c>
      <c r="O13" s="137"/>
      <c r="P13" s="137">
        <f t="shared" si="0"/>
        <v>28.327499999999997</v>
      </c>
      <c r="Q13" s="137"/>
      <c r="R13" s="137">
        <f t="shared" si="0"/>
        <v>26.828999999999997</v>
      </c>
      <c r="S13" s="137"/>
      <c r="T13" s="137">
        <f t="shared" si="0"/>
        <v>24.788249999999998</v>
      </c>
      <c r="U13" s="137"/>
      <c r="V13" s="137">
        <f t="shared" si="0"/>
        <v>25.59375</v>
      </c>
      <c r="W13" s="137"/>
      <c r="X13" s="137">
        <f t="shared" si="0"/>
        <v>25.800750000000001</v>
      </c>
      <c r="Y13" s="137"/>
      <c r="Z13" s="137">
        <f t="shared" si="0"/>
        <v>24.898500000000002</v>
      </c>
      <c r="AA13" s="122"/>
    </row>
    <row r="14" spans="1:27" x14ac:dyDescent="0.25">
      <c r="A14" s="119"/>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3"/>
      <c r="AA14" s="122"/>
    </row>
    <row r="15" spans="1:27" x14ac:dyDescent="0.25">
      <c r="A15" s="119"/>
      <c r="B15" s="124" t="s">
        <v>212</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3"/>
      <c r="AA15" s="122"/>
    </row>
    <row r="16" spans="1:27" x14ac:dyDescent="0.25">
      <c r="A16" s="119"/>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3"/>
      <c r="AA16" s="122"/>
    </row>
    <row r="17" spans="1:27" x14ac:dyDescent="0.25">
      <c r="A17" s="119"/>
      <c r="B17" s="120" t="s">
        <v>213</v>
      </c>
      <c r="C17" s="120"/>
      <c r="D17" s="120"/>
      <c r="E17" s="120"/>
      <c r="F17" s="120"/>
      <c r="G17" s="120"/>
      <c r="H17" s="120"/>
      <c r="I17" s="120"/>
      <c r="J17" s="120"/>
      <c r="K17" s="120"/>
      <c r="L17" s="130">
        <f>(Z13-D13)/(D13)</f>
        <v>-0.25821155650891536</v>
      </c>
      <c r="M17" s="130"/>
      <c r="N17" s="120"/>
      <c r="O17" s="120"/>
      <c r="P17" s="120"/>
      <c r="Q17" s="120"/>
      <c r="R17" s="120"/>
      <c r="S17" s="120"/>
      <c r="T17" s="120"/>
      <c r="U17" s="120"/>
      <c r="V17" s="120"/>
      <c r="W17" s="120"/>
      <c r="X17" s="120"/>
      <c r="Y17" s="120"/>
      <c r="Z17" s="123"/>
      <c r="AA17" s="122"/>
    </row>
    <row r="18" spans="1:27" x14ac:dyDescent="0.25">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3"/>
      <c r="AA18" s="122"/>
    </row>
    <row r="19" spans="1:27" ht="12.75" x14ac:dyDescent="0.2">
      <c r="A19" s="119"/>
      <c r="B19" s="191" t="s">
        <v>214</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22"/>
    </row>
    <row r="20" spans="1:27" ht="12.75" x14ac:dyDescent="0.2">
      <c r="A20" s="11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22"/>
    </row>
    <row r="21" spans="1:27" x14ac:dyDescent="0.25">
      <c r="A21" s="119"/>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3"/>
      <c r="AA21" s="122"/>
    </row>
    <row r="22" spans="1:27" ht="12.75" x14ac:dyDescent="0.2">
      <c r="A22" s="119"/>
      <c r="B22" s="186" t="s">
        <v>215</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22"/>
    </row>
    <row r="23" spans="1:27" ht="12.75" x14ac:dyDescent="0.2">
      <c r="A23" s="119"/>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22"/>
    </row>
    <row r="24" spans="1:27" x14ac:dyDescent="0.2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3"/>
      <c r="AA24" s="122"/>
    </row>
    <row r="25" spans="1:27" x14ac:dyDescent="0.25">
      <c r="A25" s="119"/>
      <c r="B25" s="124" t="s">
        <v>216</v>
      </c>
      <c r="C25" s="120"/>
      <c r="D25" s="120"/>
      <c r="E25" s="120"/>
      <c r="F25" s="120"/>
      <c r="G25" s="120"/>
      <c r="H25" s="120"/>
      <c r="I25" s="120"/>
      <c r="J25" s="120"/>
      <c r="K25" s="120"/>
      <c r="L25" s="120"/>
      <c r="M25" s="120"/>
      <c r="N25" s="120"/>
      <c r="O25" s="120"/>
      <c r="P25" s="138"/>
      <c r="Q25" s="138"/>
      <c r="R25" s="138"/>
      <c r="S25" s="138"/>
      <c r="T25" s="138"/>
      <c r="U25" s="138"/>
      <c r="V25" s="138"/>
      <c r="W25" s="138"/>
      <c r="X25" s="138"/>
      <c r="Y25" s="138"/>
      <c r="Z25" s="123"/>
      <c r="AA25" s="122"/>
    </row>
    <row r="26" spans="1:27" x14ac:dyDescent="0.25">
      <c r="A26" s="119"/>
      <c r="B26" s="120"/>
      <c r="C26" s="120"/>
      <c r="D26" s="120"/>
      <c r="E26" s="120"/>
      <c r="F26" s="120"/>
      <c r="G26" s="120"/>
      <c r="H26" s="120"/>
      <c r="I26" s="120"/>
      <c r="J26" s="120"/>
      <c r="K26" s="120"/>
      <c r="L26" s="120"/>
      <c r="M26" s="120"/>
      <c r="N26" s="120"/>
      <c r="O26" s="120"/>
      <c r="P26" s="138"/>
      <c r="Q26" s="138"/>
      <c r="R26" s="138"/>
      <c r="S26" s="138"/>
      <c r="T26" s="138"/>
      <c r="U26" s="138"/>
      <c r="V26" s="138"/>
      <c r="W26" s="138"/>
      <c r="X26" s="138"/>
      <c r="Y26" s="138"/>
      <c r="Z26" s="123"/>
      <c r="AA26" s="122"/>
    </row>
    <row r="27" spans="1:27" x14ac:dyDescent="0.25">
      <c r="A27" s="119"/>
      <c r="B27" s="120"/>
      <c r="C27" s="120"/>
      <c r="D27" s="126" t="s">
        <v>197</v>
      </c>
      <c r="E27" s="126"/>
      <c r="F27" s="126" t="s">
        <v>201</v>
      </c>
      <c r="G27" s="126"/>
      <c r="H27" s="126" t="s">
        <v>205</v>
      </c>
      <c r="I27" s="126"/>
      <c r="J27" s="126" t="s">
        <v>217</v>
      </c>
      <c r="K27" s="131"/>
      <c r="L27" s="120"/>
      <c r="M27" s="120"/>
      <c r="N27" s="120"/>
      <c r="O27" s="120"/>
      <c r="P27" s="138"/>
      <c r="Q27" s="138"/>
      <c r="R27" s="138"/>
      <c r="S27" s="138"/>
      <c r="T27" s="138"/>
      <c r="U27" s="138"/>
      <c r="V27" s="138"/>
      <c r="W27" s="138"/>
      <c r="X27" s="138"/>
      <c r="Y27" s="138"/>
      <c r="Z27" s="123"/>
      <c r="AA27" s="122"/>
    </row>
    <row r="28" spans="1:27" x14ac:dyDescent="0.25">
      <c r="A28" s="119"/>
      <c r="B28" s="120" t="s">
        <v>218</v>
      </c>
      <c r="C28" s="138"/>
      <c r="D28" s="127">
        <v>22.5</v>
      </c>
      <c r="E28" s="127"/>
      <c r="F28" s="127">
        <v>22.5</v>
      </c>
      <c r="G28" s="127"/>
      <c r="H28" s="127">
        <v>22.5</v>
      </c>
      <c r="I28" s="127"/>
      <c r="J28" s="130">
        <f>(H28-D28)/(D28)</f>
        <v>0</v>
      </c>
      <c r="K28" s="130"/>
      <c r="L28" s="120"/>
      <c r="M28" s="120"/>
      <c r="N28" s="120" t="s">
        <v>219</v>
      </c>
      <c r="O28" s="120"/>
      <c r="P28" s="138"/>
      <c r="Q28" s="138"/>
      <c r="R28" s="138"/>
      <c r="S28" s="138"/>
      <c r="T28" s="138"/>
      <c r="U28" s="138"/>
      <c r="V28" s="138"/>
      <c r="W28" s="138"/>
      <c r="X28" s="138"/>
      <c r="Y28" s="138"/>
      <c r="Z28" s="123"/>
      <c r="AA28" s="122"/>
    </row>
    <row r="29" spans="1:27" x14ac:dyDescent="0.25">
      <c r="A29" s="119"/>
      <c r="B29" s="120" t="s">
        <v>220</v>
      </c>
      <c r="C29" s="138"/>
      <c r="D29" s="128">
        <v>1.4918</v>
      </c>
      <c r="E29" s="128"/>
      <c r="F29" s="128">
        <v>1.3198000000000001</v>
      </c>
      <c r="G29" s="128"/>
      <c r="H29" s="120">
        <v>1.1016999999999999</v>
      </c>
      <c r="I29" s="120"/>
      <c r="J29" s="120"/>
      <c r="K29" s="120"/>
      <c r="L29" s="120"/>
      <c r="M29" s="120"/>
      <c r="N29" s="120" t="s">
        <v>221</v>
      </c>
      <c r="O29" s="120"/>
      <c r="P29" s="120"/>
      <c r="Q29" s="120"/>
      <c r="R29" s="138"/>
      <c r="S29" s="138"/>
      <c r="T29" s="129"/>
      <c r="U29" s="129"/>
      <c r="V29" s="129"/>
      <c r="W29" s="129"/>
      <c r="X29" s="129"/>
      <c r="Y29" s="129"/>
      <c r="Z29" s="123"/>
      <c r="AA29" s="122"/>
    </row>
    <row r="30" spans="1:27" x14ac:dyDescent="0.25">
      <c r="A30" s="119"/>
      <c r="B30" s="120" t="s">
        <v>222</v>
      </c>
      <c r="C30" s="138"/>
      <c r="D30" s="129">
        <f>D28*D29</f>
        <v>33.5655</v>
      </c>
      <c r="E30" s="129"/>
      <c r="F30" s="129">
        <f t="shared" ref="F30:H30" si="1">F28*F29</f>
        <v>29.695500000000003</v>
      </c>
      <c r="G30" s="129"/>
      <c r="H30" s="129">
        <f t="shared" si="1"/>
        <v>24.788249999999998</v>
      </c>
      <c r="I30" s="129"/>
      <c r="J30" s="130">
        <f>(H30-D30)/(D30)</f>
        <v>-0.26149617911248163</v>
      </c>
      <c r="K30" s="130"/>
      <c r="L30" s="120"/>
      <c r="M30" s="120"/>
      <c r="N30" s="120" t="s">
        <v>223</v>
      </c>
      <c r="O30" s="120"/>
      <c r="P30" s="120"/>
      <c r="Q30" s="120"/>
      <c r="R30" s="138"/>
      <c r="S30" s="138"/>
      <c r="T30" s="129"/>
      <c r="U30" s="129"/>
      <c r="V30" s="129"/>
      <c r="W30" s="129"/>
      <c r="X30" s="129"/>
      <c r="Y30" s="129"/>
      <c r="Z30" s="123"/>
      <c r="AA30" s="122"/>
    </row>
    <row r="31" spans="1:27" x14ac:dyDescent="0.25">
      <c r="A31" s="119"/>
      <c r="B31" s="120" t="s">
        <v>224</v>
      </c>
      <c r="C31" s="120"/>
      <c r="D31" s="120">
        <v>200</v>
      </c>
      <c r="E31" s="120"/>
      <c r="F31" s="120">
        <v>220</v>
      </c>
      <c r="G31" s="120"/>
      <c r="H31" s="120">
        <v>240</v>
      </c>
      <c r="I31" s="120"/>
      <c r="J31" s="132">
        <f>(H31-D31)/(D31)</f>
        <v>0.2</v>
      </c>
      <c r="K31" s="132"/>
      <c r="L31" s="120"/>
      <c r="M31" s="120"/>
      <c r="N31" s="120" t="s">
        <v>225</v>
      </c>
      <c r="O31" s="120"/>
      <c r="P31" s="120"/>
      <c r="Q31" s="120"/>
      <c r="R31" s="138"/>
      <c r="S31" s="138"/>
      <c r="T31" s="129"/>
      <c r="U31" s="129"/>
      <c r="V31" s="129"/>
      <c r="W31" s="129"/>
      <c r="X31" s="129"/>
      <c r="Y31" s="129"/>
      <c r="Z31" s="123"/>
      <c r="AA31" s="122"/>
    </row>
    <row r="32" spans="1:27" x14ac:dyDescent="0.25">
      <c r="A32" s="119"/>
      <c r="B32" s="120" t="s">
        <v>226</v>
      </c>
      <c r="C32" s="120"/>
      <c r="D32" s="129">
        <f>D30*D31</f>
        <v>6713.1</v>
      </c>
      <c r="E32" s="129"/>
      <c r="F32" s="129">
        <f t="shared" ref="F32:H32" si="2">F30*F31</f>
        <v>6533.01</v>
      </c>
      <c r="G32" s="129"/>
      <c r="H32" s="129">
        <f t="shared" si="2"/>
        <v>5949.1799999999994</v>
      </c>
      <c r="I32" s="129"/>
      <c r="J32" s="130">
        <f>(H32-D32)/(D32)</f>
        <v>-0.11379541493497802</v>
      </c>
      <c r="K32" s="130"/>
      <c r="L32" s="120"/>
      <c r="M32" s="120"/>
      <c r="N32" s="120" t="s">
        <v>227</v>
      </c>
      <c r="O32" s="120"/>
      <c r="P32" s="120"/>
      <c r="Q32" s="120"/>
      <c r="R32" s="138"/>
      <c r="S32" s="138"/>
      <c r="T32" s="129"/>
      <c r="U32" s="129"/>
      <c r="V32" s="129"/>
      <c r="W32" s="129"/>
      <c r="X32" s="129"/>
      <c r="Y32" s="129"/>
      <c r="Z32" s="123"/>
      <c r="AA32" s="122"/>
    </row>
    <row r="33" spans="1:27" x14ac:dyDescent="0.25">
      <c r="A33" s="119"/>
      <c r="B33" s="120" t="s">
        <v>228</v>
      </c>
      <c r="C33" s="120"/>
      <c r="D33" s="127">
        <f>D28*D31</f>
        <v>4500</v>
      </c>
      <c r="E33" s="127"/>
      <c r="F33" s="127">
        <f t="shared" ref="F33:H33" si="3">F28*F31</f>
        <v>4950</v>
      </c>
      <c r="G33" s="127"/>
      <c r="H33" s="127">
        <f t="shared" si="3"/>
        <v>5400</v>
      </c>
      <c r="I33" s="127"/>
      <c r="J33" s="130">
        <f>(H33-D33)/(D33)</f>
        <v>0.2</v>
      </c>
      <c r="K33" s="130"/>
      <c r="L33" s="120"/>
      <c r="M33" s="120"/>
      <c r="N33" s="120" t="s">
        <v>229</v>
      </c>
      <c r="O33" s="120"/>
      <c r="P33" s="120"/>
      <c r="Q33" s="120"/>
      <c r="R33" s="138"/>
      <c r="S33" s="138"/>
      <c r="T33" s="129"/>
      <c r="U33" s="129"/>
      <c r="V33" s="129"/>
      <c r="W33" s="129"/>
      <c r="X33" s="129"/>
      <c r="Y33" s="129"/>
      <c r="Z33" s="123"/>
      <c r="AA33" s="122"/>
    </row>
    <row r="34" spans="1:27" x14ac:dyDescent="0.25">
      <c r="A34" s="119"/>
      <c r="B34" s="120"/>
      <c r="C34" s="120"/>
      <c r="D34" s="120"/>
      <c r="E34" s="120"/>
      <c r="F34" s="120"/>
      <c r="G34" s="120"/>
      <c r="H34" s="120"/>
      <c r="I34" s="120"/>
      <c r="J34" s="120"/>
      <c r="K34" s="120"/>
      <c r="L34" s="120"/>
      <c r="M34" s="120"/>
      <c r="N34" s="120" t="s">
        <v>230</v>
      </c>
      <c r="O34" s="120"/>
      <c r="P34" s="120"/>
      <c r="Q34" s="120"/>
      <c r="R34" s="138"/>
      <c r="S34" s="138"/>
      <c r="T34" s="129"/>
      <c r="U34" s="129"/>
      <c r="V34" s="129"/>
      <c r="W34" s="129"/>
      <c r="X34" s="129"/>
      <c r="Y34" s="129"/>
      <c r="Z34" s="123"/>
      <c r="AA34" s="122"/>
    </row>
    <row r="35" spans="1:27" x14ac:dyDescent="0.25">
      <c r="A35" s="119"/>
      <c r="B35" s="120"/>
      <c r="C35" s="120"/>
      <c r="D35" s="120"/>
      <c r="E35" s="120"/>
      <c r="F35" s="120"/>
      <c r="G35" s="120"/>
      <c r="H35" s="120"/>
      <c r="I35" s="120"/>
      <c r="J35" s="120"/>
      <c r="K35" s="120"/>
      <c r="L35" s="120"/>
      <c r="M35" s="120"/>
      <c r="N35" s="120"/>
      <c r="O35" s="120"/>
      <c r="P35" s="120"/>
      <c r="Q35" s="120"/>
      <c r="R35" s="138"/>
      <c r="S35" s="138"/>
      <c r="T35" s="129"/>
      <c r="U35" s="129"/>
      <c r="V35" s="129"/>
      <c r="W35" s="129"/>
      <c r="X35" s="129"/>
      <c r="Y35" s="129"/>
      <c r="Z35" s="123"/>
      <c r="AA35" s="122"/>
    </row>
    <row r="36" spans="1:27" x14ac:dyDescent="0.25">
      <c r="A36" s="119"/>
      <c r="B36" s="120" t="s">
        <v>231</v>
      </c>
      <c r="C36" s="120"/>
      <c r="D36" s="120"/>
      <c r="E36" s="120"/>
      <c r="F36" s="120"/>
      <c r="G36" s="120"/>
      <c r="H36" s="120"/>
      <c r="I36" s="120"/>
      <c r="J36" s="120"/>
      <c r="K36" s="120"/>
      <c r="L36" s="120"/>
      <c r="M36" s="120"/>
      <c r="N36" s="120"/>
      <c r="O36" s="120"/>
      <c r="P36" s="120"/>
      <c r="Q36" s="120"/>
      <c r="R36" s="138"/>
      <c r="S36" s="138"/>
      <c r="T36" s="129"/>
      <c r="U36" s="129"/>
      <c r="V36" s="129"/>
      <c r="W36" s="129"/>
      <c r="X36" s="129"/>
      <c r="Y36" s="129"/>
      <c r="Z36" s="123"/>
      <c r="AA36" s="122"/>
    </row>
    <row r="37" spans="1:27" x14ac:dyDescent="0.25">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3"/>
      <c r="AA37" s="122"/>
    </row>
    <row r="38" spans="1:27" ht="15.75" thickBot="1" x14ac:dyDescent="0.3">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5"/>
      <c r="AA38" s="136"/>
    </row>
  </sheetData>
  <mergeCells count="4">
    <mergeCell ref="B22:Z23"/>
    <mergeCell ref="B2:Z2"/>
    <mergeCell ref="B4:Z6"/>
    <mergeCell ref="B19:Z20"/>
  </mergeCells>
  <phoneticPr fontId="0" type="noConversion"/>
  <printOptions horizontalCentered="1"/>
  <pageMargins left="0.75" right="0.75" top="0.75" bottom="0.75" header="0.5" footer="0.5"/>
  <pageSetup scale="5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heetViews>
  <sheetFormatPr defaultRowHeight="12.75" x14ac:dyDescent="0.2"/>
  <cols>
    <col min="1" max="1" width="2.83203125" customWidth="1"/>
    <col min="2" max="2" width="50.83203125" customWidth="1"/>
    <col min="3" max="3" width="2.83203125" customWidth="1"/>
    <col min="4" max="4" width="16.83203125" customWidth="1"/>
    <col min="5" max="5" width="6.83203125" customWidth="1"/>
    <col min="6" max="6" width="16.83203125" customWidth="1"/>
    <col min="7" max="7" width="6.83203125" customWidth="1"/>
    <col min="8" max="8" width="16.83203125" customWidth="1"/>
    <col min="9" max="9" width="2.83203125" customWidth="1"/>
  </cols>
  <sheetData>
    <row r="1" spans="1:9" x14ac:dyDescent="0.2">
      <c r="A1" s="5"/>
      <c r="B1" s="6"/>
      <c r="C1" s="6"/>
      <c r="D1" s="6"/>
      <c r="E1" s="6"/>
      <c r="F1" s="6"/>
      <c r="G1" s="6"/>
      <c r="H1" s="6"/>
      <c r="I1" s="7"/>
    </row>
    <row r="2" spans="1:9" ht="18.75" x14ac:dyDescent="0.3">
      <c r="A2" s="1"/>
      <c r="B2" s="163" t="s">
        <v>179</v>
      </c>
      <c r="C2" s="163"/>
      <c r="D2" s="163"/>
      <c r="E2" s="164"/>
      <c r="F2" s="164"/>
      <c r="G2" s="164"/>
      <c r="H2" s="164"/>
      <c r="I2" s="2"/>
    </row>
    <row r="3" spans="1:9" x14ac:dyDescent="0.2">
      <c r="A3" s="8"/>
      <c r="B3" s="9"/>
      <c r="C3" s="10"/>
      <c r="D3" s="10"/>
      <c r="E3" s="10"/>
      <c r="F3" s="10"/>
      <c r="G3" s="10"/>
      <c r="H3" s="10"/>
      <c r="I3" s="11"/>
    </row>
    <row r="4" spans="1:9" x14ac:dyDescent="0.2">
      <c r="A4" s="8"/>
      <c r="B4" s="178" t="s">
        <v>153</v>
      </c>
      <c r="C4" s="179"/>
      <c r="D4" s="179"/>
      <c r="E4" s="179"/>
      <c r="F4" s="179"/>
      <c r="G4" s="179"/>
      <c r="H4" s="179"/>
      <c r="I4" s="11"/>
    </row>
    <row r="5" spans="1:9" x14ac:dyDescent="0.2">
      <c r="A5" s="8"/>
      <c r="B5" s="179"/>
      <c r="C5" s="179"/>
      <c r="D5" s="179"/>
      <c r="E5" s="179"/>
      <c r="F5" s="179"/>
      <c r="G5" s="179"/>
      <c r="H5" s="179"/>
      <c r="I5" s="11"/>
    </row>
    <row r="6" spans="1:9" x14ac:dyDescent="0.2">
      <c r="A6" s="8"/>
      <c r="B6" s="179"/>
      <c r="C6" s="179"/>
      <c r="D6" s="179"/>
      <c r="E6" s="179"/>
      <c r="F6" s="179"/>
      <c r="G6" s="179"/>
      <c r="H6" s="179"/>
      <c r="I6" s="11"/>
    </row>
    <row r="7" spans="1:9" x14ac:dyDescent="0.2">
      <c r="A7" s="8"/>
      <c r="B7" s="179"/>
      <c r="C7" s="179"/>
      <c r="D7" s="179"/>
      <c r="E7" s="179"/>
      <c r="F7" s="179"/>
      <c r="G7" s="179"/>
      <c r="H7" s="179"/>
      <c r="I7" s="11"/>
    </row>
    <row r="8" spans="1:9" x14ac:dyDescent="0.2">
      <c r="A8" s="8"/>
      <c r="B8" s="179"/>
      <c r="C8" s="179"/>
      <c r="D8" s="179"/>
      <c r="E8" s="179"/>
      <c r="F8" s="179"/>
      <c r="G8" s="179"/>
      <c r="H8" s="179"/>
      <c r="I8" s="11"/>
    </row>
    <row r="9" spans="1:9" x14ac:dyDescent="0.2">
      <c r="A9" s="8"/>
      <c r="B9" s="179"/>
      <c r="C9" s="179"/>
      <c r="D9" s="179"/>
      <c r="E9" s="179"/>
      <c r="F9" s="179"/>
      <c r="G9" s="179"/>
      <c r="H9" s="179"/>
      <c r="I9" s="11"/>
    </row>
    <row r="10" spans="1:9" x14ac:dyDescent="0.2">
      <c r="A10" s="8"/>
      <c r="B10" s="179"/>
      <c r="C10" s="179"/>
      <c r="D10" s="179"/>
      <c r="E10" s="179"/>
      <c r="F10" s="179"/>
      <c r="G10" s="179"/>
      <c r="H10" s="179"/>
      <c r="I10" s="11"/>
    </row>
    <row r="11" spans="1:9" x14ac:dyDescent="0.2">
      <c r="A11" s="8"/>
      <c r="B11" s="179"/>
      <c r="C11" s="179"/>
      <c r="D11" s="179"/>
      <c r="E11" s="179"/>
      <c r="F11" s="179"/>
      <c r="G11" s="179"/>
      <c r="H11" s="179"/>
      <c r="I11" s="11"/>
    </row>
    <row r="12" spans="1:9" x14ac:dyDescent="0.2">
      <c r="A12" s="8"/>
      <c r="B12" s="9"/>
      <c r="C12" s="10"/>
      <c r="D12" s="10"/>
      <c r="E12" s="10"/>
      <c r="F12" s="10"/>
      <c r="G12" s="10"/>
      <c r="H12" s="10"/>
      <c r="I12" s="11"/>
    </row>
    <row r="13" spans="1:9" x14ac:dyDescent="0.2">
      <c r="A13" s="8"/>
      <c r="B13" s="10"/>
      <c r="C13" s="10"/>
      <c r="D13" s="10"/>
      <c r="E13" s="10"/>
      <c r="F13" s="20" t="s">
        <v>58</v>
      </c>
      <c r="G13" s="10"/>
      <c r="H13" s="20" t="s">
        <v>59</v>
      </c>
      <c r="I13" s="11"/>
    </row>
    <row r="14" spans="1:9" x14ac:dyDescent="0.2">
      <c r="A14" s="8"/>
      <c r="B14" s="12" t="s">
        <v>1</v>
      </c>
      <c r="C14" s="10"/>
      <c r="D14" s="13" t="s">
        <v>56</v>
      </c>
      <c r="E14" s="10"/>
      <c r="F14" s="13" t="s">
        <v>57</v>
      </c>
      <c r="G14" s="10"/>
      <c r="H14" s="13" t="s">
        <v>60</v>
      </c>
      <c r="I14" s="11"/>
    </row>
    <row r="15" spans="1:9" x14ac:dyDescent="0.2">
      <c r="A15" s="8"/>
      <c r="B15" s="10" t="s">
        <v>54</v>
      </c>
      <c r="C15" s="10"/>
      <c r="D15" s="25">
        <v>200</v>
      </c>
      <c r="E15" s="56" t="s">
        <v>83</v>
      </c>
      <c r="F15" s="18">
        <v>3.4</v>
      </c>
      <c r="G15" s="56" t="s">
        <v>83</v>
      </c>
      <c r="H15" s="21">
        <f>D15*F15</f>
        <v>680</v>
      </c>
      <c r="I15" s="11"/>
    </row>
    <row r="16" spans="1:9" x14ac:dyDescent="0.2">
      <c r="A16" s="8"/>
      <c r="B16" s="10"/>
      <c r="C16" s="10"/>
      <c r="D16" s="15"/>
      <c r="E16" s="56"/>
      <c r="F16" s="18"/>
      <c r="G16" s="56"/>
      <c r="H16" s="21"/>
      <c r="I16" s="11"/>
    </row>
    <row r="17" spans="1:9" x14ac:dyDescent="0.2">
      <c r="A17" s="8"/>
      <c r="B17" s="10" t="s">
        <v>128</v>
      </c>
      <c r="C17" s="10"/>
      <c r="D17" s="15"/>
      <c r="E17" s="56"/>
      <c r="F17" s="18"/>
      <c r="G17" s="56"/>
      <c r="H17" s="21"/>
      <c r="I17" s="11"/>
    </row>
    <row r="18" spans="1:9" x14ac:dyDescent="0.2">
      <c r="A18" s="8"/>
      <c r="B18" s="10" t="s">
        <v>129</v>
      </c>
      <c r="C18" s="10"/>
      <c r="D18" s="26">
        <f>H18/F18</f>
        <v>170</v>
      </c>
      <c r="E18" s="56" t="s">
        <v>84</v>
      </c>
      <c r="F18" s="18">
        <v>4</v>
      </c>
      <c r="G18" s="56" t="s">
        <v>84</v>
      </c>
      <c r="H18" s="21">
        <v>680</v>
      </c>
      <c r="I18" s="11"/>
    </row>
    <row r="19" spans="1:9" x14ac:dyDescent="0.2">
      <c r="A19" s="8"/>
      <c r="B19" s="10"/>
      <c r="C19" s="10"/>
      <c r="D19" s="17"/>
      <c r="E19" s="56"/>
      <c r="F19" s="18"/>
      <c r="G19" s="56"/>
      <c r="H19" s="21"/>
      <c r="I19" s="11"/>
    </row>
    <row r="20" spans="1:9" x14ac:dyDescent="0.2">
      <c r="A20" s="8"/>
      <c r="B20" s="10" t="s">
        <v>85</v>
      </c>
      <c r="C20" s="10"/>
      <c r="D20" s="17"/>
      <c r="E20" s="56"/>
      <c r="F20" s="18"/>
      <c r="G20" s="56"/>
      <c r="H20" s="21"/>
      <c r="I20" s="11"/>
    </row>
    <row r="21" spans="1:9" x14ac:dyDescent="0.2">
      <c r="A21" s="8"/>
      <c r="B21" s="10" t="s">
        <v>130</v>
      </c>
      <c r="C21" s="10"/>
      <c r="D21" s="25">
        <v>200</v>
      </c>
      <c r="E21" s="56" t="s">
        <v>83</v>
      </c>
      <c r="F21" s="18">
        <v>4</v>
      </c>
      <c r="G21" s="56" t="s">
        <v>83</v>
      </c>
      <c r="H21" s="21">
        <f>D21*F21</f>
        <v>800</v>
      </c>
      <c r="I21" s="11"/>
    </row>
    <row r="22" spans="1:9" x14ac:dyDescent="0.2">
      <c r="A22" s="8"/>
      <c r="B22" s="10"/>
      <c r="C22" s="10"/>
      <c r="D22" s="15"/>
      <c r="E22" s="10"/>
      <c r="F22" s="18"/>
      <c r="G22" s="10"/>
      <c r="H22" s="21"/>
      <c r="I22" s="11"/>
    </row>
    <row r="23" spans="1:9" x14ac:dyDescent="0.2">
      <c r="A23" s="8"/>
      <c r="B23" s="10" t="s">
        <v>67</v>
      </c>
      <c r="C23" s="10"/>
      <c r="D23" s="16">
        <v>0.6</v>
      </c>
      <c r="E23" s="10"/>
      <c r="F23" s="18"/>
      <c r="G23" s="10"/>
      <c r="H23" s="21"/>
      <c r="I23" s="11"/>
    </row>
    <row r="24" spans="1:9" x14ac:dyDescent="0.2">
      <c r="A24" s="8"/>
      <c r="B24" s="10" t="s">
        <v>55</v>
      </c>
      <c r="C24" s="10"/>
      <c r="D24" s="26">
        <f>D15*D23</f>
        <v>120</v>
      </c>
      <c r="E24" s="10"/>
      <c r="F24" s="18">
        <v>3.4</v>
      </c>
      <c r="G24" s="10"/>
      <c r="H24" s="21">
        <f>D24*F24</f>
        <v>408</v>
      </c>
      <c r="I24" s="11"/>
    </row>
    <row r="25" spans="1:9" x14ac:dyDescent="0.2">
      <c r="A25" s="8"/>
      <c r="B25" s="10"/>
      <c r="C25" s="10"/>
      <c r="D25" s="15"/>
      <c r="E25" s="10"/>
      <c r="F25" s="18"/>
      <c r="G25" s="10"/>
      <c r="H25" s="49"/>
      <c r="I25" s="11"/>
    </row>
    <row r="26" spans="1:9" x14ac:dyDescent="0.2">
      <c r="A26" s="8"/>
      <c r="B26" s="10" t="s">
        <v>51</v>
      </c>
      <c r="C26" s="10"/>
      <c r="D26" s="14">
        <v>50000</v>
      </c>
      <c r="E26" s="10"/>
      <c r="F26" s="18"/>
      <c r="G26" s="10"/>
      <c r="H26" s="49"/>
      <c r="I26" s="11"/>
    </row>
    <row r="27" spans="1:9" x14ac:dyDescent="0.2">
      <c r="A27" s="8"/>
      <c r="B27" s="10" t="s">
        <v>64</v>
      </c>
      <c r="C27" s="10"/>
      <c r="D27" s="57">
        <v>-0.2</v>
      </c>
      <c r="E27" s="10"/>
      <c r="F27" s="18"/>
      <c r="G27" s="10"/>
      <c r="H27" s="49"/>
      <c r="I27" s="11"/>
    </row>
    <row r="28" spans="1:9" x14ac:dyDescent="0.2">
      <c r="A28" s="8"/>
      <c r="B28" s="10" t="s">
        <v>66</v>
      </c>
      <c r="C28" s="10"/>
      <c r="D28" s="21">
        <f>D26*(1+D27)</f>
        <v>40000</v>
      </c>
      <c r="E28" s="10"/>
      <c r="F28" s="18"/>
      <c r="G28" s="10"/>
      <c r="H28" s="49"/>
      <c r="I28" s="11"/>
    </row>
    <row r="29" spans="1:9" x14ac:dyDescent="0.2">
      <c r="A29" s="8"/>
      <c r="B29" s="10"/>
      <c r="C29" s="10"/>
      <c r="D29" s="10"/>
      <c r="E29" s="10"/>
      <c r="F29" s="10"/>
      <c r="G29" s="10"/>
      <c r="H29" s="10"/>
      <c r="I29" s="11"/>
    </row>
    <row r="30" spans="1:9" x14ac:dyDescent="0.2">
      <c r="A30" s="8"/>
      <c r="B30" s="12" t="s">
        <v>61</v>
      </c>
      <c r="C30" s="59"/>
      <c r="D30" s="59"/>
      <c r="E30" s="59"/>
      <c r="F30" s="59"/>
      <c r="G30" s="59"/>
      <c r="H30" s="59"/>
      <c r="I30" s="11"/>
    </row>
    <row r="31" spans="1:9" x14ac:dyDescent="0.2">
      <c r="A31" s="8"/>
      <c r="B31" s="19"/>
      <c r="C31" s="10"/>
      <c r="D31" s="10"/>
      <c r="E31" s="10"/>
      <c r="F31" s="10"/>
      <c r="G31" s="10"/>
      <c r="H31" s="10"/>
      <c r="I31" s="11"/>
    </row>
    <row r="32" spans="1:9" x14ac:dyDescent="0.2">
      <c r="A32" s="8"/>
      <c r="B32" s="10" t="s">
        <v>80</v>
      </c>
      <c r="C32" s="10"/>
      <c r="D32" s="45">
        <f>(H15*D26)/F18</f>
        <v>8500000</v>
      </c>
      <c r="E32" s="10"/>
      <c r="F32" s="10"/>
      <c r="G32" s="10"/>
      <c r="H32" s="10"/>
      <c r="I32" s="11"/>
    </row>
    <row r="33" spans="1:9" x14ac:dyDescent="0.2">
      <c r="A33" s="8"/>
      <c r="B33" s="10" t="s">
        <v>116</v>
      </c>
      <c r="C33" s="10"/>
      <c r="D33" s="58">
        <f>D24*D26</f>
        <v>6000000</v>
      </c>
      <c r="E33" s="10"/>
      <c r="F33" s="10"/>
      <c r="G33" s="10"/>
      <c r="H33" s="10"/>
      <c r="I33" s="11"/>
    </row>
    <row r="34" spans="1:9" x14ac:dyDescent="0.2">
      <c r="A34" s="8"/>
      <c r="B34" s="10" t="s">
        <v>62</v>
      </c>
      <c r="C34" s="10"/>
      <c r="D34" s="68">
        <f>D32-D33</f>
        <v>2500000</v>
      </c>
      <c r="E34" s="10"/>
      <c r="F34" s="10"/>
      <c r="G34" s="10"/>
      <c r="H34" s="10"/>
      <c r="I34" s="11"/>
    </row>
    <row r="35" spans="1:9" x14ac:dyDescent="0.2">
      <c r="A35" s="8"/>
      <c r="B35" s="10"/>
      <c r="C35" s="10"/>
      <c r="D35" s="10"/>
      <c r="E35" s="10"/>
      <c r="F35" s="10"/>
      <c r="G35" s="10"/>
      <c r="H35" s="10"/>
      <c r="I35" s="11"/>
    </row>
    <row r="36" spans="1:9" x14ac:dyDescent="0.2">
      <c r="A36" s="8"/>
      <c r="B36" s="12" t="s">
        <v>63</v>
      </c>
      <c r="C36" s="59"/>
      <c r="D36" s="59"/>
      <c r="E36" s="59"/>
      <c r="F36" s="59"/>
      <c r="G36" s="59"/>
      <c r="H36" s="59"/>
      <c r="I36" s="11"/>
    </row>
    <row r="37" spans="1:9" x14ac:dyDescent="0.2">
      <c r="A37" s="8"/>
      <c r="B37" s="19"/>
      <c r="C37" s="10"/>
      <c r="D37" s="10"/>
      <c r="E37" s="10"/>
      <c r="F37" s="10"/>
      <c r="G37" s="10"/>
      <c r="H37" s="10"/>
      <c r="I37" s="11"/>
    </row>
    <row r="38" spans="1:9" x14ac:dyDescent="0.2">
      <c r="A38" s="8"/>
      <c r="B38" s="10" t="s">
        <v>81</v>
      </c>
      <c r="C38" s="10"/>
      <c r="D38" s="45">
        <f>(H21*D28)/F21</f>
        <v>8000000</v>
      </c>
      <c r="E38" s="10"/>
      <c r="F38" s="10"/>
      <c r="G38" s="10"/>
      <c r="H38" s="10"/>
      <c r="I38" s="11"/>
    </row>
    <row r="39" spans="1:9" x14ac:dyDescent="0.2">
      <c r="A39" s="8"/>
      <c r="B39" s="10" t="s">
        <v>82</v>
      </c>
      <c r="C39" s="10"/>
      <c r="D39" s="58">
        <f>D24*D28</f>
        <v>4800000</v>
      </c>
      <c r="E39" s="10"/>
      <c r="F39" s="10"/>
      <c r="G39" s="10"/>
      <c r="H39" s="10"/>
      <c r="I39" s="11"/>
    </row>
    <row r="40" spans="1:9" x14ac:dyDescent="0.2">
      <c r="A40" s="8"/>
      <c r="B40" s="10" t="s">
        <v>62</v>
      </c>
      <c r="C40" s="10"/>
      <c r="D40" s="68">
        <f>D38-D39</f>
        <v>3200000</v>
      </c>
      <c r="E40" s="10"/>
      <c r="F40" s="10"/>
      <c r="G40" s="10"/>
      <c r="H40" s="10"/>
      <c r="I40" s="11"/>
    </row>
    <row r="41" spans="1:9" x14ac:dyDescent="0.2">
      <c r="A41" s="8"/>
      <c r="B41" s="10"/>
      <c r="C41" s="10"/>
      <c r="D41" s="10"/>
      <c r="E41" s="10"/>
      <c r="F41" s="10"/>
      <c r="G41" s="10"/>
      <c r="H41" s="10"/>
      <c r="I41" s="11"/>
    </row>
    <row r="42" spans="1:9" x14ac:dyDescent="0.2">
      <c r="A42" s="8"/>
      <c r="B42" s="12" t="s">
        <v>65</v>
      </c>
      <c r="C42" s="12"/>
      <c r="D42" s="12"/>
      <c r="E42" s="12"/>
      <c r="F42" s="12"/>
      <c r="G42" s="12"/>
      <c r="H42" s="12"/>
      <c r="I42" s="11"/>
    </row>
    <row r="43" spans="1:9" x14ac:dyDescent="0.2">
      <c r="A43" s="8"/>
      <c r="B43" s="192" t="s">
        <v>154</v>
      </c>
      <c r="C43" s="193"/>
      <c r="D43" s="193"/>
      <c r="E43" s="193"/>
      <c r="F43" s="193"/>
      <c r="G43" s="193"/>
      <c r="H43" s="193"/>
      <c r="I43" s="11"/>
    </row>
    <row r="44" spans="1:9" x14ac:dyDescent="0.2">
      <c r="A44" s="8"/>
      <c r="B44" s="179"/>
      <c r="C44" s="179"/>
      <c r="D44" s="179"/>
      <c r="E44" s="179"/>
      <c r="F44" s="179"/>
      <c r="G44" s="179"/>
      <c r="H44" s="179"/>
      <c r="I44" s="11"/>
    </row>
    <row r="45" spans="1:9" x14ac:dyDescent="0.2">
      <c r="A45" s="8"/>
      <c r="B45" s="179"/>
      <c r="C45" s="179"/>
      <c r="D45" s="179"/>
      <c r="E45" s="179"/>
      <c r="F45" s="179"/>
      <c r="G45" s="179"/>
      <c r="H45" s="179"/>
      <c r="I45" s="11"/>
    </row>
    <row r="46" spans="1:9" x14ac:dyDescent="0.2">
      <c r="A46" s="8"/>
      <c r="B46" s="179"/>
      <c r="C46" s="179"/>
      <c r="D46" s="179"/>
      <c r="E46" s="179"/>
      <c r="F46" s="179"/>
      <c r="G46" s="179"/>
      <c r="H46" s="179"/>
      <c r="I46" s="11"/>
    </row>
    <row r="47" spans="1:9" ht="13.5" thickBot="1" x14ac:dyDescent="0.25">
      <c r="A47" s="22"/>
      <c r="B47" s="23"/>
      <c r="C47" s="23"/>
      <c r="D47" s="23"/>
      <c r="E47" s="23"/>
      <c r="F47" s="23"/>
      <c r="G47" s="23"/>
      <c r="H47" s="23"/>
      <c r="I47" s="24"/>
    </row>
  </sheetData>
  <mergeCells count="3">
    <mergeCell ref="B2:H2"/>
    <mergeCell ref="B43:H46"/>
    <mergeCell ref="B4:H11"/>
  </mergeCells>
  <phoneticPr fontId="0" type="noConversion"/>
  <printOptions horizontalCentered="1"/>
  <pageMargins left="0.75" right="0.75" top="1" bottom="1" header="0.5" footer="0.5"/>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Pbm12.1</vt:lpstr>
      <vt:lpstr>Pbm12.2</vt:lpstr>
      <vt:lpstr>Pbm12.3</vt:lpstr>
      <vt:lpstr>Pbm12.4</vt:lpstr>
      <vt:lpstr>Pbm12.5</vt:lpstr>
      <vt:lpstr>Pbm12.6</vt:lpstr>
      <vt:lpstr>Pbm12.7</vt:lpstr>
      <vt:lpstr>Pbm12.8</vt:lpstr>
      <vt:lpstr>Pbm12.9</vt:lpstr>
      <vt:lpstr>Pbm12.10</vt:lpstr>
      <vt:lpstr>PBM12.11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Moffett</dc:creator>
  <cp:lastModifiedBy>Michael Moffett</cp:lastModifiedBy>
  <cp:lastPrinted>2018-01-29T14:57:10Z</cp:lastPrinted>
  <dcterms:created xsi:type="dcterms:W3CDTF">2002-03-02T16:40:07Z</dcterms:created>
  <dcterms:modified xsi:type="dcterms:W3CDTF">2018-02-21T21:31:28Z</dcterms:modified>
</cp:coreProperties>
</file>